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filterPrivacy="1" codeName="ThisWorkbook"/>
  <xr:revisionPtr revIDLastSave="0" documentId="13_ncr:1_{ADDB5149-0242-4C06-93C1-45ADEE29F5FE}" xr6:coauthVersionLast="40" xr6:coauthVersionMax="40" xr10:uidLastSave="{00000000-0000-0000-0000-000000000000}"/>
  <bookViews>
    <workbookView xWindow="0" yWindow="0" windowWidth="23040" windowHeight="10092" tabRatio="727" xr2:uid="{00000000-000D-0000-FFFF-FFFF00000000}"/>
  </bookViews>
  <sheets>
    <sheet name="BCR summary" sheetId="7" r:id="rId1"/>
    <sheet name="DfT Scheme Impact Proforma" sheetId="11" r:id="rId2"/>
    <sheet name="Scheme Costs" sheetId="9" r:id="rId3"/>
    <sheet name="Mode shift to bus+tram" sheetId="3" r:id="rId4"/>
    <sheet name="Operating cost savings" sheetId="8" r:id="rId5"/>
    <sheet name="Bus+Tram Pax value of time" sheetId="1" r:id="rId6"/>
    <sheet name="RTI amenity value" sheetId="15" r:id="rId7"/>
    <sheet name="Smart TC System JT Savings" sheetId="16" r:id="rId8"/>
    <sheet name="Smart PT Hubs EV charging" sheetId="17" r:id="rId9"/>
    <sheet name="eBike hire scheme" sheetId="18" state="hidden" r:id="rId10"/>
    <sheet name="Factors and data" sheetId="2" r:id="rId11"/>
  </sheets>
  <calcPr calcId="181029"/>
</workbook>
</file>

<file path=xl/calcChain.xml><?xml version="1.0" encoding="utf-8"?>
<calcChain xmlns="http://schemas.openxmlformats.org/spreadsheetml/2006/main">
  <c r="G50" i="9" l="1"/>
  <c r="K50" i="9"/>
  <c r="H11" i="9"/>
  <c r="C11" i="15"/>
  <c r="A25" i="16"/>
  <c r="K16" i="11" l="1"/>
  <c r="K14" i="11"/>
  <c r="F16" i="11"/>
  <c r="J16" i="11"/>
  <c r="F14" i="11"/>
  <c r="J14" i="11" s="1"/>
  <c r="J15" i="11"/>
  <c r="J17" i="11"/>
  <c r="I14" i="11"/>
  <c r="I16" i="11"/>
  <c r="I17" i="11"/>
  <c r="H16" i="11"/>
  <c r="H17" i="11"/>
  <c r="H14" i="11"/>
  <c r="C60" i="18" l="1"/>
  <c r="B60" i="18"/>
  <c r="F60" i="18" l="1"/>
  <c r="E72" i="18"/>
  <c r="B72" i="18"/>
  <c r="B61" i="18"/>
  <c r="E17" i="7" l="1"/>
  <c r="B34" i="16"/>
  <c r="E14" i="7"/>
  <c r="G31" i="9" l="1"/>
  <c r="H31" i="9" s="1"/>
  <c r="I61" i="16" l="1"/>
  <c r="I60" i="16"/>
  <c r="C59" i="16"/>
  <c r="F61" i="16"/>
  <c r="F60" i="16"/>
  <c r="C60" i="16"/>
  <c r="A28" i="16"/>
  <c r="D34" i="16" s="1"/>
  <c r="H20" i="16"/>
  <c r="H19" i="16"/>
  <c r="A26" i="16"/>
  <c r="D9" i="11"/>
  <c r="E9" i="11"/>
  <c r="D8" i="11"/>
  <c r="B38" i="16"/>
  <c r="B39" i="16"/>
  <c r="B40" i="16"/>
  <c r="B41" i="16"/>
  <c r="B42" i="16"/>
  <c r="B43" i="16"/>
  <c r="B44" i="16"/>
  <c r="B45" i="16"/>
  <c r="B46" i="16"/>
  <c r="B47" i="16"/>
  <c r="B48" i="16"/>
  <c r="B49" i="16"/>
  <c r="B50" i="16"/>
  <c r="B51" i="16"/>
  <c r="B52" i="16"/>
  <c r="B53" i="16"/>
  <c r="B35" i="16"/>
  <c r="B36" i="16"/>
  <c r="B37" i="16"/>
  <c r="C34" i="16"/>
  <c r="C35" i="16"/>
  <c r="C36" i="16"/>
  <c r="C37" i="16"/>
  <c r="C38" i="16"/>
  <c r="C39" i="16"/>
  <c r="C40" i="16"/>
  <c r="C41" i="16"/>
  <c r="C42" i="16"/>
  <c r="C43" i="16"/>
  <c r="C44" i="16"/>
  <c r="C45" i="16"/>
  <c r="C46" i="16"/>
  <c r="C47" i="16"/>
  <c r="C48" i="16"/>
  <c r="C49" i="16"/>
  <c r="C50" i="16"/>
  <c r="C51" i="16"/>
  <c r="C52" i="16"/>
  <c r="C53" i="16"/>
  <c r="E8" i="11"/>
  <c r="I6" i="16"/>
  <c r="H17" i="16"/>
  <c r="H16" i="16"/>
  <c r="H15" i="16"/>
  <c r="H14" i="16"/>
  <c r="B11" i="1"/>
  <c r="E6" i="16"/>
  <c r="D35" i="16" l="1"/>
  <c r="D38" i="16"/>
  <c r="D15" i="11" s="1"/>
  <c r="H15" i="11" s="1"/>
  <c r="D36" i="16"/>
  <c r="E15" i="11"/>
  <c r="I15" i="11" s="1"/>
  <c r="I62" i="16"/>
  <c r="H38" i="16" l="1"/>
  <c r="K15" i="11"/>
  <c r="B8" i="1"/>
  <c r="B12" i="1"/>
  <c r="L25" i="16"/>
  <c r="C13" i="16"/>
  <c r="C12" i="16"/>
  <c r="C11" i="16"/>
  <c r="C10" i="16"/>
  <c r="C9" i="16"/>
  <c r="C8" i="16"/>
  <c r="C7" i="16"/>
  <c r="C6" i="16"/>
  <c r="B15" i="1" l="1"/>
  <c r="L24" i="16"/>
  <c r="L26" i="16"/>
  <c r="J149" i="17"/>
  <c r="B113" i="17"/>
  <c r="C121" i="17"/>
  <c r="D117" i="17" s="1"/>
  <c r="C109" i="17"/>
  <c r="C110" i="17" s="1"/>
  <c r="C111" i="17" s="1"/>
  <c r="C112" i="17" s="1"/>
  <c r="C113" i="17" l="1"/>
  <c r="D118" i="17"/>
  <c r="D116" i="17"/>
  <c r="D120" i="17"/>
  <c r="D119" i="17"/>
  <c r="D121" i="17" l="1"/>
  <c r="E116" i="17" s="1"/>
  <c r="F116" i="17" s="1"/>
  <c r="B126" i="17" s="1"/>
  <c r="D16" i="11"/>
  <c r="E16" i="11"/>
  <c r="G116" i="17"/>
  <c r="C126" i="17" s="1"/>
  <c r="E120" i="17"/>
  <c r="F120" i="17" s="1"/>
  <c r="B130" i="17" s="1"/>
  <c r="B131" i="17" s="1"/>
  <c r="B132" i="17" s="1"/>
  <c r="B133" i="17" s="1"/>
  <c r="B134" i="17" s="1"/>
  <c r="B135" i="17" s="1"/>
  <c r="B136" i="17" s="1"/>
  <c r="B137" i="17" s="1"/>
  <c r="B138" i="17" s="1"/>
  <c r="B139" i="17" s="1"/>
  <c r="B140" i="17" s="1"/>
  <c r="B141" i="17" s="1"/>
  <c r="B142" i="17" s="1"/>
  <c r="B143" i="17" s="1"/>
  <c r="B144" i="17" s="1"/>
  <c r="B145" i="17" s="1"/>
  <c r="E117" i="17"/>
  <c r="F117" i="17" s="1"/>
  <c r="B127" i="17" s="1"/>
  <c r="J39" i="9"/>
  <c r="G120" i="17" l="1"/>
  <c r="G131" i="17" s="1"/>
  <c r="F155" i="17" s="1"/>
  <c r="E118" i="17"/>
  <c r="E119" i="17"/>
  <c r="F132" i="17"/>
  <c r="E156" i="17" s="1"/>
  <c r="J132" i="17"/>
  <c r="I156" i="17" s="1"/>
  <c r="I133" i="17"/>
  <c r="H157" i="17" s="1"/>
  <c r="G135" i="17"/>
  <c r="F159" i="17" s="1"/>
  <c r="F136" i="17"/>
  <c r="E160" i="17" s="1"/>
  <c r="J136" i="17"/>
  <c r="I160" i="17" s="1"/>
  <c r="H138" i="17"/>
  <c r="G162" i="17" s="1"/>
  <c r="G139" i="17"/>
  <c r="F163" i="17" s="1"/>
  <c r="F140" i="17"/>
  <c r="E164" i="17" s="1"/>
  <c r="J140" i="17"/>
  <c r="I164" i="17" s="1"/>
  <c r="I141" i="17"/>
  <c r="H165" i="17" s="1"/>
  <c r="H142" i="17"/>
  <c r="G166" i="17" s="1"/>
  <c r="F130" i="17"/>
  <c r="E154" i="17" s="1"/>
  <c r="F131" i="17"/>
  <c r="E155" i="17" s="1"/>
  <c r="G132" i="17"/>
  <c r="F156" i="17" s="1"/>
  <c r="G133" i="17"/>
  <c r="F157" i="17" s="1"/>
  <c r="G134" i="17"/>
  <c r="F158" i="17" s="1"/>
  <c r="H135" i="17"/>
  <c r="G159" i="17" s="1"/>
  <c r="H136" i="17"/>
  <c r="G160" i="17" s="1"/>
  <c r="H137" i="17"/>
  <c r="G161" i="17" s="1"/>
  <c r="I138" i="17"/>
  <c r="H162" i="17" s="1"/>
  <c r="I139" i="17"/>
  <c r="H163" i="17" s="1"/>
  <c r="I140" i="17"/>
  <c r="H164" i="17" s="1"/>
  <c r="J141" i="17"/>
  <c r="I165" i="17" s="1"/>
  <c r="J142" i="17"/>
  <c r="I166" i="17" s="1"/>
  <c r="I143" i="17"/>
  <c r="H167" i="17" s="1"/>
  <c r="H144" i="17"/>
  <c r="G168" i="17" s="1"/>
  <c r="G145" i="17"/>
  <c r="F169" i="17" s="1"/>
  <c r="E133" i="17"/>
  <c r="D157" i="17" s="1"/>
  <c r="E137" i="17"/>
  <c r="D161" i="17" s="1"/>
  <c r="E141" i="17"/>
  <c r="D165" i="17" s="1"/>
  <c r="E145" i="17"/>
  <c r="D169" i="17" s="1"/>
  <c r="D133" i="17"/>
  <c r="C157" i="17" s="1"/>
  <c r="D137" i="17"/>
  <c r="D141" i="17"/>
  <c r="D145" i="17"/>
  <c r="C169" i="17" s="1"/>
  <c r="I130" i="17"/>
  <c r="H154" i="17" s="1"/>
  <c r="J131" i="17"/>
  <c r="I155" i="17" s="1"/>
  <c r="H133" i="17"/>
  <c r="G157" i="17" s="1"/>
  <c r="J134" i="17"/>
  <c r="I158" i="17" s="1"/>
  <c r="G136" i="17"/>
  <c r="J137" i="17"/>
  <c r="I161" i="17" s="1"/>
  <c r="F139" i="17"/>
  <c r="E163" i="17" s="1"/>
  <c r="H140" i="17"/>
  <c r="G164" i="17" s="1"/>
  <c r="F142" i="17"/>
  <c r="E166" i="17" s="1"/>
  <c r="G143" i="17"/>
  <c r="F167" i="17" s="1"/>
  <c r="G144" i="17"/>
  <c r="F168" i="17" s="1"/>
  <c r="H145" i="17"/>
  <c r="G169" i="17" s="1"/>
  <c r="E131" i="17"/>
  <c r="D155" i="17" s="1"/>
  <c r="E132" i="17"/>
  <c r="D156" i="17" s="1"/>
  <c r="E138" i="17"/>
  <c r="D162" i="17" s="1"/>
  <c r="E143" i="17"/>
  <c r="D167" i="17" s="1"/>
  <c r="D132" i="17"/>
  <c r="D138" i="17"/>
  <c r="D143" i="17"/>
  <c r="C167" i="17" s="1"/>
  <c r="H131" i="17"/>
  <c r="G155" i="17" s="1"/>
  <c r="I132" i="17"/>
  <c r="H156" i="17" s="1"/>
  <c r="F134" i="17"/>
  <c r="E158" i="17" s="1"/>
  <c r="I135" i="17"/>
  <c r="H159" i="17" s="1"/>
  <c r="F137" i="17"/>
  <c r="E161" i="17" s="1"/>
  <c r="G138" i="17"/>
  <c r="F162" i="17" s="1"/>
  <c r="J139" i="17"/>
  <c r="I163" i="17" s="1"/>
  <c r="G141" i="17"/>
  <c r="F165" i="17" s="1"/>
  <c r="I142" i="17"/>
  <c r="H166" i="17" s="1"/>
  <c r="J143" i="17"/>
  <c r="I167" i="17" s="1"/>
  <c r="J144" i="17"/>
  <c r="I168" i="17" s="1"/>
  <c r="J145" i="17"/>
  <c r="I169" i="17" s="1"/>
  <c r="E135" i="17"/>
  <c r="D159" i="17" s="1"/>
  <c r="E140" i="17"/>
  <c r="D135" i="17"/>
  <c r="D140" i="17"/>
  <c r="C164" i="17" s="1"/>
  <c r="D130" i="17"/>
  <c r="G130" i="17"/>
  <c r="F154" i="17" s="1"/>
  <c r="I131" i="17"/>
  <c r="H155" i="17" s="1"/>
  <c r="F133" i="17"/>
  <c r="I134" i="17"/>
  <c r="H158" i="17" s="1"/>
  <c r="J135" i="17"/>
  <c r="I159" i="17" s="1"/>
  <c r="G137" i="17"/>
  <c r="F161" i="17" s="1"/>
  <c r="J138" i="17"/>
  <c r="I162" i="17" s="1"/>
  <c r="G140" i="17"/>
  <c r="F164" i="17" s="1"/>
  <c r="H141" i="17"/>
  <c r="G165" i="17" s="1"/>
  <c r="F143" i="17"/>
  <c r="F144" i="17"/>
  <c r="E168" i="17" s="1"/>
  <c r="F145" i="17"/>
  <c r="E130" i="17"/>
  <c r="D154" i="17" s="1"/>
  <c r="E136" i="17"/>
  <c r="D160" i="17" s="1"/>
  <c r="E142" i="17"/>
  <c r="D166" i="17" s="1"/>
  <c r="D131" i="17"/>
  <c r="D136" i="17"/>
  <c r="D142" i="17"/>
  <c r="J133" i="17"/>
  <c r="I157" i="17" s="1"/>
  <c r="H139" i="17"/>
  <c r="I144" i="17"/>
  <c r="H168" i="17" s="1"/>
  <c r="E139" i="17"/>
  <c r="D163" i="17" s="1"/>
  <c r="D144" i="17"/>
  <c r="I136" i="17"/>
  <c r="H160" i="17" s="1"/>
  <c r="D134" i="17"/>
  <c r="H132" i="17"/>
  <c r="G156" i="17" s="1"/>
  <c r="F138" i="17"/>
  <c r="E162" i="17" s="1"/>
  <c r="H143" i="17"/>
  <c r="G167" i="17" s="1"/>
  <c r="E134" i="17"/>
  <c r="D158" i="17" s="1"/>
  <c r="D139" i="17"/>
  <c r="C163" i="17" s="1"/>
  <c r="F135" i="17"/>
  <c r="E159" i="17" s="1"/>
  <c r="F141" i="17"/>
  <c r="E165" i="17" s="1"/>
  <c r="I145" i="17"/>
  <c r="H169" i="17" s="1"/>
  <c r="E144" i="17"/>
  <c r="D168" i="17" s="1"/>
  <c r="J130" i="17"/>
  <c r="I154" i="17" s="1"/>
  <c r="G142" i="17"/>
  <c r="F166" i="17" s="1"/>
  <c r="H126" i="17"/>
  <c r="G150" i="17" s="1"/>
  <c r="J126" i="17"/>
  <c r="I150" i="17" s="1"/>
  <c r="G126" i="17"/>
  <c r="F150" i="17" s="1"/>
  <c r="F126" i="17"/>
  <c r="E150" i="17" s="1"/>
  <c r="D126" i="17"/>
  <c r="E126" i="17"/>
  <c r="I126" i="17"/>
  <c r="G117" i="17"/>
  <c r="C127" i="17" s="1"/>
  <c r="B125" i="18"/>
  <c r="I137" i="17" l="1"/>
  <c r="H161" i="17" s="1"/>
  <c r="H134" i="17"/>
  <c r="G158" i="17" s="1"/>
  <c r="F119" i="17"/>
  <c r="B129" i="17" s="1"/>
  <c r="G119" i="17"/>
  <c r="F118" i="17"/>
  <c r="B128" i="17" s="1"/>
  <c r="G118" i="17"/>
  <c r="C134" i="17"/>
  <c r="C138" i="17"/>
  <c r="C142" i="17"/>
  <c r="C130" i="17"/>
  <c r="C135" i="17"/>
  <c r="C139" i="17"/>
  <c r="C143" i="17"/>
  <c r="C131" i="17"/>
  <c r="C132" i="17"/>
  <c r="C136" i="17"/>
  <c r="C140" i="17"/>
  <c r="C144" i="17"/>
  <c r="C133" i="17"/>
  <c r="C137" i="17"/>
  <c r="C141" i="17"/>
  <c r="C145" i="17"/>
  <c r="H130" i="17"/>
  <c r="G154" i="17" s="1"/>
  <c r="C168" i="17"/>
  <c r="J168" i="17" s="1"/>
  <c r="K144" i="17"/>
  <c r="L144" i="17" s="1"/>
  <c r="M144" i="17" s="1"/>
  <c r="K133" i="17"/>
  <c r="L133" i="17" s="1"/>
  <c r="M133" i="17" s="1"/>
  <c r="E157" i="17"/>
  <c r="J157" i="17" s="1"/>
  <c r="C165" i="17"/>
  <c r="J165" i="17" s="1"/>
  <c r="K141" i="17"/>
  <c r="L141" i="17" s="1"/>
  <c r="M141" i="17" s="1"/>
  <c r="G127" i="17"/>
  <c r="F151" i="17" s="1"/>
  <c r="J127" i="17"/>
  <c r="E127" i="17"/>
  <c r="D151" i="17" s="1"/>
  <c r="I127" i="17"/>
  <c r="H151" i="17" s="1"/>
  <c r="F127" i="17"/>
  <c r="H127" i="17"/>
  <c r="D127" i="17"/>
  <c r="D150" i="17"/>
  <c r="C166" i="17"/>
  <c r="J166" i="17" s="1"/>
  <c r="K142" i="17"/>
  <c r="L142" i="17" s="1"/>
  <c r="M142" i="17" s="1"/>
  <c r="K143" i="17"/>
  <c r="L143" i="17" s="1"/>
  <c r="M143" i="17" s="1"/>
  <c r="E167" i="17"/>
  <c r="J167" i="17" s="1"/>
  <c r="C159" i="17"/>
  <c r="J159" i="17" s="1"/>
  <c r="K135" i="17"/>
  <c r="L135" i="17" s="1"/>
  <c r="M135" i="17" s="1"/>
  <c r="C162" i="17"/>
  <c r="J162" i="17" s="1"/>
  <c r="K138" i="17"/>
  <c r="L138" i="17" s="1"/>
  <c r="M138" i="17" s="1"/>
  <c r="C161" i="17"/>
  <c r="J161" i="17" s="1"/>
  <c r="K137" i="17"/>
  <c r="L137" i="17" s="1"/>
  <c r="M137" i="17" s="1"/>
  <c r="K139" i="17"/>
  <c r="L139" i="17" s="1"/>
  <c r="M139" i="17" s="1"/>
  <c r="G163" i="17"/>
  <c r="J163" i="17" s="1"/>
  <c r="C155" i="17"/>
  <c r="J155" i="17" s="1"/>
  <c r="K131" i="17"/>
  <c r="L131" i="17" s="1"/>
  <c r="M131" i="17" s="1"/>
  <c r="K145" i="17"/>
  <c r="L145" i="17" s="1"/>
  <c r="M145" i="17" s="1"/>
  <c r="E169" i="17"/>
  <c r="C154" i="17"/>
  <c r="J169" i="17"/>
  <c r="H150" i="17"/>
  <c r="C150" i="17"/>
  <c r="K126" i="17"/>
  <c r="C158" i="17"/>
  <c r="J158" i="17" s="1"/>
  <c r="K134" i="17"/>
  <c r="L134" i="17" s="1"/>
  <c r="M134" i="17" s="1"/>
  <c r="C160" i="17"/>
  <c r="K136" i="17"/>
  <c r="L136" i="17" s="1"/>
  <c r="M136" i="17" s="1"/>
  <c r="K140" i="17"/>
  <c r="L140" i="17" s="1"/>
  <c r="M140" i="17" s="1"/>
  <c r="D164" i="17"/>
  <c r="J164" i="17" s="1"/>
  <c r="C156" i="17"/>
  <c r="J156" i="17" s="1"/>
  <c r="K132" i="17"/>
  <c r="L132" i="17" s="1"/>
  <c r="M132" i="17" s="1"/>
  <c r="F160" i="17"/>
  <c r="A98" i="18"/>
  <c r="A99" i="18"/>
  <c r="A118" i="18"/>
  <c r="A117" i="18"/>
  <c r="A116" i="18"/>
  <c r="A115" i="18"/>
  <c r="A114" i="18"/>
  <c r="A113" i="18"/>
  <c r="A112" i="18"/>
  <c r="A111" i="18"/>
  <c r="A110" i="18"/>
  <c r="A109" i="18"/>
  <c r="A108" i="18"/>
  <c r="A107" i="18"/>
  <c r="A106" i="18"/>
  <c r="A105" i="18"/>
  <c r="A104" i="18"/>
  <c r="A103" i="18"/>
  <c r="A102" i="18"/>
  <c r="A101" i="18"/>
  <c r="A100" i="18"/>
  <c r="D55" i="18"/>
  <c r="D54" i="18"/>
  <c r="F49" i="18"/>
  <c r="F48" i="18"/>
  <c r="D48" i="18"/>
  <c r="D49" i="18" s="1"/>
  <c r="C48" i="18"/>
  <c r="C49" i="18" s="1"/>
  <c r="B48" i="18"/>
  <c r="B49" i="18" s="1"/>
  <c r="A43" i="18"/>
  <c r="A42" i="18"/>
  <c r="G27" i="18"/>
  <c r="F27" i="18"/>
  <c r="D15" i="18"/>
  <c r="E15" i="18"/>
  <c r="F15" i="18"/>
  <c r="G15" i="18"/>
  <c r="G22" i="18" s="1"/>
  <c r="E14" i="18"/>
  <c r="F14" i="18"/>
  <c r="G14" i="18"/>
  <c r="G21" i="18" s="1"/>
  <c r="G28" i="18" s="1"/>
  <c r="D14" i="18"/>
  <c r="J154" i="17" l="1"/>
  <c r="K130" i="17"/>
  <c r="L130" i="17" s="1"/>
  <c r="M130" i="17" s="1"/>
  <c r="B146" i="17"/>
  <c r="C128" i="17"/>
  <c r="D128" i="17"/>
  <c r="G128" i="17"/>
  <c r="F128" i="17"/>
  <c r="E152" i="17" s="1"/>
  <c r="E128" i="17"/>
  <c r="D152" i="17" s="1"/>
  <c r="D170" i="17" s="1"/>
  <c r="J128" i="17"/>
  <c r="I152" i="17" s="1"/>
  <c r="H128" i="17"/>
  <c r="G152" i="17" s="1"/>
  <c r="I128" i="17"/>
  <c r="H152" i="17" s="1"/>
  <c r="H170" i="17" s="1"/>
  <c r="E146" i="17"/>
  <c r="C129" i="17"/>
  <c r="F129" i="17"/>
  <c r="E153" i="17" s="1"/>
  <c r="E129" i="17"/>
  <c r="D153" i="17" s="1"/>
  <c r="D129" i="17"/>
  <c r="H129" i="17"/>
  <c r="G153" i="17" s="1"/>
  <c r="I129" i="17"/>
  <c r="H153" i="17" s="1"/>
  <c r="G129" i="17"/>
  <c r="F153" i="17" s="1"/>
  <c r="J129" i="17"/>
  <c r="I153" i="17" s="1"/>
  <c r="J160" i="17"/>
  <c r="L126" i="17"/>
  <c r="G151" i="17"/>
  <c r="I151" i="17"/>
  <c r="E151" i="17"/>
  <c r="C151" i="17"/>
  <c r="K127" i="17"/>
  <c r="L127" i="17" s="1"/>
  <c r="M127" i="17" s="1"/>
  <c r="J150" i="17"/>
  <c r="E49" i="18"/>
  <c r="D60" i="18" s="1"/>
  <c r="E60" i="18" s="1"/>
  <c r="G48" i="18"/>
  <c r="G49" i="18"/>
  <c r="E48" i="18"/>
  <c r="F21" i="18"/>
  <c r="F28" i="18" s="1"/>
  <c r="F22" i="18"/>
  <c r="G29" i="18"/>
  <c r="F146" i="17" l="1"/>
  <c r="H146" i="17"/>
  <c r="I170" i="17"/>
  <c r="C153" i="17"/>
  <c r="J153" i="17" s="1"/>
  <c r="K129" i="17"/>
  <c r="L129" i="17" s="1"/>
  <c r="M129" i="17" s="1"/>
  <c r="F152" i="17"/>
  <c r="F170" i="17" s="1"/>
  <c r="G146" i="17"/>
  <c r="J146" i="17"/>
  <c r="C152" i="17"/>
  <c r="K128" i="17"/>
  <c r="L128" i="17" s="1"/>
  <c r="M128" i="17" s="1"/>
  <c r="G170" i="17"/>
  <c r="I146" i="17"/>
  <c r="D146" i="17"/>
  <c r="C146" i="17"/>
  <c r="J151" i="17"/>
  <c r="E170" i="17"/>
  <c r="M126" i="17"/>
  <c r="D61" i="18"/>
  <c r="E61" i="18" s="1"/>
  <c r="F61" i="18"/>
  <c r="E62" i="18"/>
  <c r="D72" i="18" s="1"/>
  <c r="D62" i="18"/>
  <c r="C72" i="18" s="1"/>
  <c r="C61" i="18"/>
  <c r="E21" i="18"/>
  <c r="E28" i="18" s="1"/>
  <c r="E22" i="18"/>
  <c r="F29" i="18"/>
  <c r="D21" i="18"/>
  <c r="B13" i="2"/>
  <c r="B7" i="2"/>
  <c r="M146" i="17" l="1"/>
  <c r="J152" i="17"/>
  <c r="J170" i="17" s="1"/>
  <c r="C170" i="17"/>
  <c r="L146" i="17"/>
  <c r="K146" i="17"/>
  <c r="F62" i="18"/>
  <c r="F72" i="18" s="1"/>
  <c r="C78" i="18"/>
  <c r="C79" i="18"/>
  <c r="C83" i="18"/>
  <c r="C87" i="18"/>
  <c r="C91" i="18"/>
  <c r="C80" i="18"/>
  <c r="C84" i="18"/>
  <c r="C88" i="18"/>
  <c r="C75" i="18"/>
  <c r="C76" i="18"/>
  <c r="C77" i="18"/>
  <c r="C81" i="18"/>
  <c r="C85" i="18"/>
  <c r="C89" i="18"/>
  <c r="C73" i="18"/>
  <c r="C92" i="18" s="1"/>
  <c r="C82" i="18"/>
  <c r="C86" i="18"/>
  <c r="C90" i="18"/>
  <c r="C74" i="18"/>
  <c r="C62" i="18"/>
  <c r="B85" i="18" s="1"/>
  <c r="D78" i="18"/>
  <c r="D74" i="18"/>
  <c r="D91" i="18"/>
  <c r="D76" i="18"/>
  <c r="D75" i="18"/>
  <c r="D77" i="18"/>
  <c r="D90" i="18"/>
  <c r="D87" i="18"/>
  <c r="D88" i="18"/>
  <c r="D73" i="18"/>
  <c r="D82" i="18"/>
  <c r="D79" i="18"/>
  <c r="D80" i="18"/>
  <c r="D86" i="18"/>
  <c r="D83" i="18"/>
  <c r="D81" i="18"/>
  <c r="D84" i="18"/>
  <c r="D85" i="18"/>
  <c r="D89" i="18"/>
  <c r="B81" i="18"/>
  <c r="B89" i="18"/>
  <c r="B88" i="18"/>
  <c r="B82" i="18"/>
  <c r="B86" i="18"/>
  <c r="B90" i="18"/>
  <c r="B76" i="18"/>
  <c r="B84" i="18"/>
  <c r="B79" i="18"/>
  <c r="B83" i="18"/>
  <c r="B87" i="18"/>
  <c r="B91" i="18"/>
  <c r="B80" i="18"/>
  <c r="B75" i="18"/>
  <c r="E77" i="18"/>
  <c r="F77" i="18" s="1"/>
  <c r="E81" i="18"/>
  <c r="F81" i="18" s="1"/>
  <c r="E85" i="18"/>
  <c r="F85" i="18" s="1"/>
  <c r="E89" i="18"/>
  <c r="F89" i="18" s="1"/>
  <c r="E74" i="18"/>
  <c r="F74" i="18" s="1"/>
  <c r="E84" i="18"/>
  <c r="F84" i="18" s="1"/>
  <c r="E78" i="18"/>
  <c r="F78" i="18" s="1"/>
  <c r="E82" i="18"/>
  <c r="F82" i="18" s="1"/>
  <c r="E86" i="18"/>
  <c r="F86" i="18" s="1"/>
  <c r="E90" i="18"/>
  <c r="F90" i="18" s="1"/>
  <c r="E76" i="18"/>
  <c r="F76" i="18" s="1"/>
  <c r="E73" i="18"/>
  <c r="F73" i="18" s="1"/>
  <c r="E91" i="18"/>
  <c r="F91" i="18" s="1"/>
  <c r="E79" i="18"/>
  <c r="F79" i="18" s="1"/>
  <c r="E83" i="18"/>
  <c r="F83" i="18" s="1"/>
  <c r="E87" i="18"/>
  <c r="F87" i="18" s="1"/>
  <c r="E75" i="18"/>
  <c r="F75" i="18" s="1"/>
  <c r="E80" i="18"/>
  <c r="F80" i="18" s="1"/>
  <c r="E88" i="18"/>
  <c r="F88" i="18" s="1"/>
  <c r="B62" i="18"/>
  <c r="D28" i="18"/>
  <c r="H28" i="18" s="1"/>
  <c r="H21" i="18"/>
  <c r="I21" i="18" s="1"/>
  <c r="D22" i="18"/>
  <c r="E29" i="18"/>
  <c r="G11" i="9"/>
  <c r="K39" i="9"/>
  <c r="D20" i="9"/>
  <c r="E83" i="17"/>
  <c r="G83" i="17"/>
  <c r="E78" i="17"/>
  <c r="G78" i="17"/>
  <c r="E84" i="17"/>
  <c r="G84" i="17"/>
  <c r="E85" i="17"/>
  <c r="G85" i="17"/>
  <c r="E86" i="17"/>
  <c r="G86" i="17"/>
  <c r="E87" i="17"/>
  <c r="G87" i="17"/>
  <c r="E88" i="17"/>
  <c r="G88" i="17"/>
  <c r="E89" i="17"/>
  <c r="G89" i="17"/>
  <c r="E90" i="17"/>
  <c r="G90" i="17"/>
  <c r="E91" i="17"/>
  <c r="G91" i="17"/>
  <c r="E92" i="17"/>
  <c r="G92" i="17"/>
  <c r="E93" i="17"/>
  <c r="G93" i="17"/>
  <c r="E94" i="17"/>
  <c r="G94" i="17"/>
  <c r="E95" i="17"/>
  <c r="G95" i="17"/>
  <c r="E96" i="17"/>
  <c r="G96" i="17"/>
  <c r="E97" i="17"/>
  <c r="G97" i="17"/>
  <c r="E98" i="17"/>
  <c r="G98" i="17"/>
  <c r="E99" i="17"/>
  <c r="G99" i="17"/>
  <c r="E100" i="17"/>
  <c r="G100" i="17"/>
  <c r="E101" i="17"/>
  <c r="G101" i="17"/>
  <c r="E82" i="17"/>
  <c r="G82" i="17"/>
  <c r="E57" i="17"/>
  <c r="A76" i="17"/>
  <c r="A77" i="17"/>
  <c r="A74" i="17"/>
  <c r="A75" i="17"/>
  <c r="C57" i="17"/>
  <c r="D57" i="17"/>
  <c r="F57" i="17"/>
  <c r="H125" i="17" s="1"/>
  <c r="G149" i="17" s="1"/>
  <c r="G57" i="17"/>
  <c r="I125" i="17" s="1"/>
  <c r="H149" i="17" s="1"/>
  <c r="H57" i="17"/>
  <c r="J125" i="17" s="1"/>
  <c r="I149" i="17" s="1"/>
  <c r="B57" i="17"/>
  <c r="D125" i="17" s="1"/>
  <c r="C149" i="17" s="1"/>
  <c r="B50" i="3"/>
  <c r="A59" i="17"/>
  <c r="A127" i="17" s="1"/>
  <c r="A60" i="17"/>
  <c r="A61" i="17"/>
  <c r="A62" i="17"/>
  <c r="A63" i="17"/>
  <c r="A64" i="17"/>
  <c r="A65" i="17"/>
  <c r="A66" i="17"/>
  <c r="A67" i="17"/>
  <c r="A68" i="17"/>
  <c r="A69" i="17"/>
  <c r="A70" i="17"/>
  <c r="A71" i="17"/>
  <c r="A72" i="17"/>
  <c r="A140" i="17" s="1"/>
  <c r="A164" i="17" s="1"/>
  <c r="A73" i="17"/>
  <c r="A58" i="17"/>
  <c r="I81" i="17"/>
  <c r="A96" i="17"/>
  <c r="D81" i="17"/>
  <c r="A57" i="17"/>
  <c r="C26" i="9" l="1"/>
  <c r="H43" i="9"/>
  <c r="A95" i="17"/>
  <c r="A139" i="17"/>
  <c r="A163" i="17" s="1"/>
  <c r="A82" i="17"/>
  <c r="A126" i="17"/>
  <c r="A150" i="17" s="1"/>
  <c r="E97" i="18"/>
  <c r="G125" i="17"/>
  <c r="F149" i="17" s="1"/>
  <c r="A97" i="17"/>
  <c r="A141" i="17"/>
  <c r="A165" i="17" s="1"/>
  <c r="A93" i="17"/>
  <c r="A137" i="17"/>
  <c r="A161" i="17" s="1"/>
  <c r="A89" i="17"/>
  <c r="A133" i="17"/>
  <c r="A157" i="17" s="1"/>
  <c r="A85" i="17"/>
  <c r="A129" i="17"/>
  <c r="A153" i="17" s="1"/>
  <c r="D97" i="18"/>
  <c r="F125" i="17"/>
  <c r="E149" i="17" s="1"/>
  <c r="A98" i="17"/>
  <c r="A142" i="17"/>
  <c r="A166" i="17" s="1"/>
  <c r="A91" i="17"/>
  <c r="A135" i="17"/>
  <c r="A159" i="17" s="1"/>
  <c r="A87" i="17"/>
  <c r="A131" i="17"/>
  <c r="A155" i="17" s="1"/>
  <c r="A100" i="17"/>
  <c r="A144" i="17"/>
  <c r="A168" i="17" s="1"/>
  <c r="A97" i="18"/>
  <c r="A125" i="17"/>
  <c r="A94" i="17"/>
  <c r="A138" i="17"/>
  <c r="A162" i="17" s="1"/>
  <c r="A90" i="17"/>
  <c r="A134" i="17"/>
  <c r="A158" i="17" s="1"/>
  <c r="A86" i="17"/>
  <c r="A130" i="17"/>
  <c r="A154" i="17" s="1"/>
  <c r="A99" i="17"/>
  <c r="A143" i="17"/>
  <c r="A167" i="17" s="1"/>
  <c r="A92" i="17"/>
  <c r="A136" i="17"/>
  <c r="A160" i="17" s="1"/>
  <c r="A88" i="17"/>
  <c r="A132" i="17"/>
  <c r="A156" i="17" s="1"/>
  <c r="A84" i="17"/>
  <c r="A128" i="17"/>
  <c r="A152" i="17" s="1"/>
  <c r="C97" i="18"/>
  <c r="E125" i="17"/>
  <c r="D149" i="17" s="1"/>
  <c r="A101" i="17"/>
  <c r="A145" i="17"/>
  <c r="A169" i="17" s="1"/>
  <c r="C81" i="17"/>
  <c r="G81" i="17"/>
  <c r="G97" i="18"/>
  <c r="F81" i="17"/>
  <c r="F97" i="18"/>
  <c r="H81" i="17"/>
  <c r="H97" i="18"/>
  <c r="E81" i="17"/>
  <c r="B81" i="17"/>
  <c r="B97" i="18"/>
  <c r="C93" i="18"/>
  <c r="C94" i="18" s="1"/>
  <c r="B122" i="18"/>
  <c r="B73" i="18"/>
  <c r="B77" i="18"/>
  <c r="B92" i="18" s="1"/>
  <c r="B74" i="18"/>
  <c r="B78" i="18"/>
  <c r="E109" i="18"/>
  <c r="F109" i="18"/>
  <c r="C109" i="18"/>
  <c r="G109" i="18"/>
  <c r="B109" i="18"/>
  <c r="D109" i="18"/>
  <c r="H109" i="18"/>
  <c r="E111" i="18"/>
  <c r="B111" i="18"/>
  <c r="F111" i="18"/>
  <c r="C111" i="18"/>
  <c r="G111" i="18"/>
  <c r="D111" i="18"/>
  <c r="H111" i="18"/>
  <c r="C106" i="18"/>
  <c r="G106" i="18"/>
  <c r="D106" i="18"/>
  <c r="H106" i="18"/>
  <c r="E106" i="18"/>
  <c r="F106" i="18"/>
  <c r="B106" i="18"/>
  <c r="E105" i="18"/>
  <c r="F105" i="18"/>
  <c r="B105" i="18"/>
  <c r="C105" i="18"/>
  <c r="G105" i="18"/>
  <c r="D105" i="18"/>
  <c r="H105" i="18"/>
  <c r="C116" i="18"/>
  <c r="G116" i="18"/>
  <c r="D116" i="18"/>
  <c r="H116" i="18"/>
  <c r="B116" i="18"/>
  <c r="E116" i="18"/>
  <c r="F116" i="18"/>
  <c r="C110" i="18"/>
  <c r="G110" i="18"/>
  <c r="D110" i="18"/>
  <c r="H110" i="18"/>
  <c r="E110" i="18"/>
  <c r="F110" i="18"/>
  <c r="B110" i="18"/>
  <c r="E107" i="18"/>
  <c r="B107" i="18"/>
  <c r="F107" i="18"/>
  <c r="C107" i="18"/>
  <c r="G107" i="18"/>
  <c r="D107" i="18"/>
  <c r="H107" i="18"/>
  <c r="C114" i="18"/>
  <c r="G114" i="18"/>
  <c r="D114" i="18"/>
  <c r="H114" i="18"/>
  <c r="E114" i="18"/>
  <c r="F114" i="18"/>
  <c r="B114" i="18"/>
  <c r="C102" i="18"/>
  <c r="G102" i="18"/>
  <c r="D102" i="18"/>
  <c r="H102" i="18"/>
  <c r="E102" i="18"/>
  <c r="F102" i="18"/>
  <c r="B102" i="18"/>
  <c r="E101" i="18"/>
  <c r="F101" i="18"/>
  <c r="C101" i="18"/>
  <c r="G101" i="18"/>
  <c r="B101" i="18"/>
  <c r="D101" i="18"/>
  <c r="H101" i="18"/>
  <c r="E117" i="18"/>
  <c r="F117" i="18"/>
  <c r="C117" i="18"/>
  <c r="G117" i="18"/>
  <c r="B117" i="18"/>
  <c r="D117" i="18"/>
  <c r="H117" i="18"/>
  <c r="C112" i="18"/>
  <c r="G112" i="18"/>
  <c r="D112" i="18"/>
  <c r="H112" i="18"/>
  <c r="B112" i="18"/>
  <c r="E112" i="18"/>
  <c r="F112" i="18"/>
  <c r="C100" i="18"/>
  <c r="G100" i="18"/>
  <c r="D100" i="18"/>
  <c r="H100" i="18"/>
  <c r="B100" i="18"/>
  <c r="E100" i="18"/>
  <c r="F100" i="18"/>
  <c r="E103" i="18"/>
  <c r="F103" i="18"/>
  <c r="C103" i="18"/>
  <c r="G103" i="18"/>
  <c r="D103" i="18"/>
  <c r="H103" i="18"/>
  <c r="B103" i="18"/>
  <c r="C104" i="18"/>
  <c r="G104" i="18"/>
  <c r="D104" i="18"/>
  <c r="H104" i="18"/>
  <c r="B104" i="18"/>
  <c r="E104" i="18"/>
  <c r="F104" i="18"/>
  <c r="E113" i="18"/>
  <c r="F113" i="18"/>
  <c r="B113" i="18"/>
  <c r="C113" i="18"/>
  <c r="G113" i="18"/>
  <c r="D113" i="18"/>
  <c r="H113" i="18"/>
  <c r="E99" i="18"/>
  <c r="B99" i="18"/>
  <c r="F99" i="18"/>
  <c r="C99" i="18"/>
  <c r="G99" i="18"/>
  <c r="D99" i="18"/>
  <c r="H99" i="18"/>
  <c r="C108" i="18"/>
  <c r="G108" i="18"/>
  <c r="D108" i="18"/>
  <c r="H108" i="18"/>
  <c r="B108" i="18"/>
  <c r="E108" i="18"/>
  <c r="F108" i="18"/>
  <c r="E115" i="18"/>
  <c r="F115" i="18"/>
  <c r="C115" i="18"/>
  <c r="G115" i="18"/>
  <c r="D115" i="18"/>
  <c r="H115" i="18"/>
  <c r="B115" i="18"/>
  <c r="C98" i="18"/>
  <c r="G98" i="18"/>
  <c r="D98" i="18"/>
  <c r="H98" i="18"/>
  <c r="E98" i="18"/>
  <c r="F98" i="18"/>
  <c r="B98" i="18"/>
  <c r="D92" i="18"/>
  <c r="F92" i="18"/>
  <c r="E92" i="18"/>
  <c r="H22" i="18"/>
  <c r="I22" i="18" s="1"/>
  <c r="D29" i="18"/>
  <c r="H29" i="18" s="1"/>
  <c r="D12" i="17"/>
  <c r="D18" i="17"/>
  <c r="E18" i="17" s="1"/>
  <c r="F18" i="17" s="1"/>
  <c r="D20" i="17"/>
  <c r="E20" i="17" s="1"/>
  <c r="F20" i="17" s="1"/>
  <c r="C21" i="17"/>
  <c r="C20" i="17"/>
  <c r="C19" i="17"/>
  <c r="C18" i="17"/>
  <c r="C17" i="17"/>
  <c r="C8" i="17"/>
  <c r="C7" i="17"/>
  <c r="C6" i="17"/>
  <c r="C5" i="17"/>
  <c r="C4" i="17"/>
  <c r="F8" i="17"/>
  <c r="D21" i="17" s="1"/>
  <c r="E21" i="17" s="1"/>
  <c r="F21" i="17" s="1"/>
  <c r="F6" i="17"/>
  <c r="D19" i="17" s="1"/>
  <c r="E19" i="17" s="1"/>
  <c r="F19" i="17" s="1"/>
  <c r="F4" i="17"/>
  <c r="D17" i="17" s="1"/>
  <c r="E17" i="17" s="1"/>
  <c r="D7" i="11" l="1"/>
  <c r="E7" i="11"/>
  <c r="F17" i="17"/>
  <c r="G17" i="17" s="1"/>
  <c r="I99" i="18"/>
  <c r="J99" i="18" s="1"/>
  <c r="K99" i="18" s="1"/>
  <c r="C118" i="18"/>
  <c r="E118" i="18"/>
  <c r="I113" i="18"/>
  <c r="J113" i="18" s="1"/>
  <c r="K113" i="18" s="1"/>
  <c r="F118" i="18"/>
  <c r="D118" i="18"/>
  <c r="G118" i="18"/>
  <c r="H118" i="18"/>
  <c r="I98" i="18"/>
  <c r="B118" i="18"/>
  <c r="I101" i="18"/>
  <c r="J101" i="18" s="1"/>
  <c r="K101" i="18" s="1"/>
  <c r="I107" i="18"/>
  <c r="J107" i="18" s="1"/>
  <c r="K107" i="18" s="1"/>
  <c r="I110" i="18"/>
  <c r="J110" i="18" s="1"/>
  <c r="K110" i="18" s="1"/>
  <c r="I114" i="18"/>
  <c r="J114" i="18" s="1"/>
  <c r="K114" i="18" s="1"/>
  <c r="I111" i="18"/>
  <c r="J111" i="18" s="1"/>
  <c r="K111" i="18" s="1"/>
  <c r="I115" i="18"/>
  <c r="J115" i="18" s="1"/>
  <c r="K115" i="18" s="1"/>
  <c r="I104" i="18"/>
  <c r="J104" i="18" s="1"/>
  <c r="K104" i="18" s="1"/>
  <c r="I108" i="18"/>
  <c r="J108" i="18" s="1"/>
  <c r="K108" i="18" s="1"/>
  <c r="I117" i="18"/>
  <c r="J117" i="18" s="1"/>
  <c r="K117" i="18" s="1"/>
  <c r="I106" i="18"/>
  <c r="J106" i="18" s="1"/>
  <c r="K106" i="18" s="1"/>
  <c r="I105" i="18"/>
  <c r="J105" i="18" s="1"/>
  <c r="K105" i="18" s="1"/>
  <c r="I116" i="18"/>
  <c r="J116" i="18" s="1"/>
  <c r="K116" i="18" s="1"/>
  <c r="I103" i="18"/>
  <c r="J103" i="18" s="1"/>
  <c r="K103" i="18" s="1"/>
  <c r="I102" i="18"/>
  <c r="J102" i="18" s="1"/>
  <c r="K102" i="18" s="1"/>
  <c r="I112" i="18"/>
  <c r="J112" i="18" s="1"/>
  <c r="K112" i="18" s="1"/>
  <c r="I109" i="18"/>
  <c r="J109" i="18" s="1"/>
  <c r="K109" i="18" s="1"/>
  <c r="I100" i="18"/>
  <c r="J100" i="18" s="1"/>
  <c r="K100" i="18" s="1"/>
  <c r="H17" i="17"/>
  <c r="G19" i="17"/>
  <c r="G20" i="17"/>
  <c r="H20" i="17"/>
  <c r="G18" i="17"/>
  <c r="G21" i="17"/>
  <c r="H19" i="17"/>
  <c r="H18" i="17"/>
  <c r="H21" i="17"/>
  <c r="F9" i="17"/>
  <c r="I118" i="18" l="1"/>
  <c r="J98" i="18"/>
  <c r="H22" i="17"/>
  <c r="D25" i="17" s="1"/>
  <c r="G22" i="17"/>
  <c r="D24" i="17" s="1"/>
  <c r="F35" i="17" l="1"/>
  <c r="F39" i="17"/>
  <c r="F43" i="17"/>
  <c r="F47" i="17"/>
  <c r="F51" i="17"/>
  <c r="F33" i="17"/>
  <c r="B58" i="17" s="1"/>
  <c r="B82" i="17" s="1"/>
  <c r="F38" i="17"/>
  <c r="F44" i="17"/>
  <c r="F49" i="17"/>
  <c r="F36" i="17"/>
  <c r="F42" i="17"/>
  <c r="F50" i="17"/>
  <c r="F37" i="17"/>
  <c r="F45" i="17"/>
  <c r="F52" i="17"/>
  <c r="F40" i="17"/>
  <c r="F46" i="17"/>
  <c r="F34" i="17"/>
  <c r="F41" i="17"/>
  <c r="F48" i="17"/>
  <c r="K98" i="18"/>
  <c r="J118" i="18"/>
  <c r="K118" i="18"/>
  <c r="B37" i="17"/>
  <c r="B41" i="17"/>
  <c r="B45" i="17"/>
  <c r="B49" i="17"/>
  <c r="B33" i="17"/>
  <c r="B34" i="17"/>
  <c r="B42" i="17"/>
  <c r="B46" i="17"/>
  <c r="B38" i="17"/>
  <c r="B50" i="17"/>
  <c r="B35" i="17"/>
  <c r="B39" i="17"/>
  <c r="B43" i="17"/>
  <c r="B47" i="17"/>
  <c r="B51" i="17"/>
  <c r="B40" i="17"/>
  <c r="B44" i="17"/>
  <c r="B48" i="17"/>
  <c r="D26" i="17"/>
  <c r="B36" i="17"/>
  <c r="B52" i="17"/>
  <c r="G32" i="9"/>
  <c r="G33" i="9"/>
  <c r="G34" i="9"/>
  <c r="G35" i="9"/>
  <c r="G36" i="9"/>
  <c r="G37" i="9"/>
  <c r="G38" i="9"/>
  <c r="H38" i="9" s="1"/>
  <c r="G12" i="9"/>
  <c r="G13" i="9"/>
  <c r="G14" i="9"/>
  <c r="G15" i="9"/>
  <c r="H15" i="9" s="1"/>
  <c r="G16" i="9"/>
  <c r="G17" i="9"/>
  <c r="G18" i="9"/>
  <c r="H18" i="9" s="1"/>
  <c r="G19" i="9"/>
  <c r="E35" i="17" l="1"/>
  <c r="E39" i="17"/>
  <c r="E43" i="17"/>
  <c r="E47" i="17"/>
  <c r="E51" i="17"/>
  <c r="E37" i="17"/>
  <c r="E42" i="17"/>
  <c r="E48" i="17"/>
  <c r="E34" i="17"/>
  <c r="E41" i="17"/>
  <c r="E49" i="17"/>
  <c r="E36" i="17"/>
  <c r="E44" i="17"/>
  <c r="E50" i="17"/>
  <c r="E38" i="17"/>
  <c r="E45" i="17"/>
  <c r="E52" i="17"/>
  <c r="E33" i="17"/>
  <c r="E40" i="17"/>
  <c r="E46" i="17"/>
  <c r="M12" i="9"/>
  <c r="H12" i="9"/>
  <c r="H36" i="9"/>
  <c r="M36" i="9"/>
  <c r="M32" i="9"/>
  <c r="H32" i="9"/>
  <c r="H39" i="9" s="1"/>
  <c r="M19" i="9"/>
  <c r="H19" i="9"/>
  <c r="I18" i="9" s="1"/>
  <c r="M15" i="9"/>
  <c r="M31" i="9"/>
  <c r="H35" i="9"/>
  <c r="M35" i="9"/>
  <c r="M18" i="9"/>
  <c r="M14" i="9"/>
  <c r="H14" i="9"/>
  <c r="M38" i="9"/>
  <c r="M34" i="9"/>
  <c r="H34" i="9"/>
  <c r="M17" i="9"/>
  <c r="H17" i="9"/>
  <c r="M13" i="9"/>
  <c r="H13" i="9"/>
  <c r="H37" i="9"/>
  <c r="M37" i="9"/>
  <c r="H33" i="9"/>
  <c r="M33" i="9"/>
  <c r="M16" i="9"/>
  <c r="H16" i="9"/>
  <c r="M11" i="9"/>
  <c r="D75" i="17"/>
  <c r="D99" i="17" s="1"/>
  <c r="F75" i="17"/>
  <c r="F99" i="17" s="1"/>
  <c r="B75" i="17"/>
  <c r="B99" i="17" s="1"/>
  <c r="H75" i="17"/>
  <c r="H99" i="17" s="1"/>
  <c r="C75" i="17"/>
  <c r="C99" i="17" s="1"/>
  <c r="D63" i="17"/>
  <c r="D87" i="17" s="1"/>
  <c r="H63" i="17"/>
  <c r="H87" i="17" s="1"/>
  <c r="B63" i="17"/>
  <c r="B87" i="17" s="1"/>
  <c r="C63" i="17"/>
  <c r="C87" i="17" s="1"/>
  <c r="F63" i="17"/>
  <c r="F87" i="17" s="1"/>
  <c r="B62" i="17"/>
  <c r="B86" i="17" s="1"/>
  <c r="D62" i="17"/>
  <c r="D86" i="17" s="1"/>
  <c r="C62" i="17"/>
  <c r="C86" i="17" s="1"/>
  <c r="F62" i="17"/>
  <c r="F86" i="17" s="1"/>
  <c r="H62" i="17"/>
  <c r="H86" i="17" s="1"/>
  <c r="C72" i="17"/>
  <c r="C96" i="17" s="1"/>
  <c r="F72" i="17"/>
  <c r="F96" i="17" s="1"/>
  <c r="H72" i="17"/>
  <c r="H96" i="17" s="1"/>
  <c r="D72" i="17"/>
  <c r="D96" i="17" s="1"/>
  <c r="B72" i="17"/>
  <c r="B96" i="17" s="1"/>
  <c r="D71" i="17"/>
  <c r="D95" i="17" s="1"/>
  <c r="H71" i="17"/>
  <c r="H95" i="17" s="1"/>
  <c r="B71" i="17"/>
  <c r="B95" i="17" s="1"/>
  <c r="F71" i="17"/>
  <c r="F95" i="17" s="1"/>
  <c r="C71" i="17"/>
  <c r="C95" i="17" s="1"/>
  <c r="B74" i="17"/>
  <c r="B98" i="17" s="1"/>
  <c r="C74" i="17"/>
  <c r="C98" i="17" s="1"/>
  <c r="F74" i="17"/>
  <c r="F98" i="17" s="1"/>
  <c r="H74" i="17"/>
  <c r="H98" i="17" s="1"/>
  <c r="D74" i="17"/>
  <c r="D98" i="17" s="1"/>
  <c r="D73" i="17"/>
  <c r="D97" i="17" s="1"/>
  <c r="H73" i="17"/>
  <c r="H97" i="17" s="1"/>
  <c r="C73" i="17"/>
  <c r="C97" i="17" s="1"/>
  <c r="B73" i="17"/>
  <c r="B97" i="17" s="1"/>
  <c r="F73" i="17"/>
  <c r="F97" i="17" s="1"/>
  <c r="C68" i="17"/>
  <c r="C92" i="17" s="1"/>
  <c r="F68" i="17"/>
  <c r="F92" i="17" s="1"/>
  <c r="B68" i="17"/>
  <c r="B92" i="17" s="1"/>
  <c r="H68" i="17"/>
  <c r="H92" i="17" s="1"/>
  <c r="D68" i="17"/>
  <c r="D92" i="17" s="1"/>
  <c r="D59" i="17"/>
  <c r="D83" i="17" s="1"/>
  <c r="H59" i="17"/>
  <c r="H83" i="17" s="1"/>
  <c r="B59" i="17"/>
  <c r="B83" i="17" s="1"/>
  <c r="C59" i="17"/>
  <c r="C83" i="17" s="1"/>
  <c r="F59" i="17"/>
  <c r="F83" i="17" s="1"/>
  <c r="B70" i="17"/>
  <c r="B94" i="17" s="1"/>
  <c r="C70" i="17"/>
  <c r="C94" i="17" s="1"/>
  <c r="F70" i="17"/>
  <c r="F94" i="17" s="1"/>
  <c r="H70" i="17"/>
  <c r="H94" i="17" s="1"/>
  <c r="D70" i="17"/>
  <c r="D94" i="17" s="1"/>
  <c r="D61" i="17"/>
  <c r="D85" i="17" s="1"/>
  <c r="H61" i="17"/>
  <c r="H85" i="17" s="1"/>
  <c r="C61" i="17"/>
  <c r="C85" i="17" s="1"/>
  <c r="B61" i="17"/>
  <c r="B85" i="17" s="1"/>
  <c r="F61" i="17"/>
  <c r="F85" i="17" s="1"/>
  <c r="D65" i="17"/>
  <c r="D89" i="17" s="1"/>
  <c r="H65" i="17"/>
  <c r="H89" i="17" s="1"/>
  <c r="C65" i="17"/>
  <c r="C89" i="17" s="1"/>
  <c r="B65" i="17"/>
  <c r="B89" i="17" s="1"/>
  <c r="F65" i="17"/>
  <c r="F89" i="17" s="1"/>
  <c r="C64" i="17"/>
  <c r="C88" i="17" s="1"/>
  <c r="F64" i="17"/>
  <c r="F88" i="17" s="1"/>
  <c r="D64" i="17"/>
  <c r="D88" i="17" s="1"/>
  <c r="B64" i="17"/>
  <c r="B88" i="17" s="1"/>
  <c r="H64" i="17"/>
  <c r="H88" i="17" s="1"/>
  <c r="D77" i="17"/>
  <c r="D101" i="17" s="1"/>
  <c r="F77" i="17"/>
  <c r="F101" i="17" s="1"/>
  <c r="H77" i="17"/>
  <c r="H101" i="17" s="1"/>
  <c r="C77" i="17"/>
  <c r="C101" i="17" s="1"/>
  <c r="B77" i="17"/>
  <c r="B101" i="17" s="1"/>
  <c r="D69" i="17"/>
  <c r="D93" i="17" s="1"/>
  <c r="H69" i="17"/>
  <c r="H93" i="17" s="1"/>
  <c r="C69" i="17"/>
  <c r="C93" i="17" s="1"/>
  <c r="B69" i="17"/>
  <c r="B93" i="17" s="1"/>
  <c r="F69" i="17"/>
  <c r="F93" i="17" s="1"/>
  <c r="D67" i="17"/>
  <c r="D91" i="17" s="1"/>
  <c r="H67" i="17"/>
  <c r="H91" i="17" s="1"/>
  <c r="B67" i="17"/>
  <c r="B91" i="17" s="1"/>
  <c r="F67" i="17"/>
  <c r="F91" i="17" s="1"/>
  <c r="C67" i="17"/>
  <c r="C91" i="17" s="1"/>
  <c r="B66" i="17"/>
  <c r="B90" i="17" s="1"/>
  <c r="C66" i="17"/>
  <c r="C90" i="17" s="1"/>
  <c r="F66" i="17"/>
  <c r="F90" i="17" s="1"/>
  <c r="H66" i="17"/>
  <c r="H90" i="17" s="1"/>
  <c r="D66" i="17"/>
  <c r="D90" i="17" s="1"/>
  <c r="C58" i="17"/>
  <c r="C82" i="17" s="1"/>
  <c r="D58" i="17"/>
  <c r="D82" i="17" s="1"/>
  <c r="H58" i="17"/>
  <c r="H82" i="17" s="1"/>
  <c r="C76" i="17"/>
  <c r="C100" i="17" s="1"/>
  <c r="F76" i="17"/>
  <c r="F100" i="17" s="1"/>
  <c r="H76" i="17"/>
  <c r="H100" i="17" s="1"/>
  <c r="B76" i="17"/>
  <c r="B100" i="17" s="1"/>
  <c r="D76" i="17"/>
  <c r="D100" i="17" s="1"/>
  <c r="D60" i="17"/>
  <c r="D84" i="17" s="1"/>
  <c r="C60" i="17"/>
  <c r="C84" i="17" s="1"/>
  <c r="F60" i="17"/>
  <c r="F84" i="17" s="1"/>
  <c r="B60" i="17"/>
  <c r="B84" i="17" s="1"/>
  <c r="H60" i="17"/>
  <c r="H84" i="17" s="1"/>
  <c r="F58" i="17"/>
  <c r="F82" i="17" s="1"/>
  <c r="E102" i="17"/>
  <c r="C35" i="17"/>
  <c r="C41" i="17"/>
  <c r="C49" i="17"/>
  <c r="C34" i="17"/>
  <c r="C42" i="17"/>
  <c r="C50" i="17"/>
  <c r="C37" i="17"/>
  <c r="C45" i="17"/>
  <c r="C33" i="17"/>
  <c r="C38" i="17"/>
  <c r="C46" i="17"/>
  <c r="C44" i="17"/>
  <c r="C47" i="17"/>
  <c r="C43" i="17"/>
  <c r="C51" i="17"/>
  <c r="C40" i="17"/>
  <c r="C52" i="17"/>
  <c r="C36" i="17"/>
  <c r="C39" i="17"/>
  <c r="C48" i="17"/>
  <c r="F53" i="17"/>
  <c r="B53" i="17"/>
  <c r="G20" i="9"/>
  <c r="C5" i="9" s="1"/>
  <c r="G39" i="9"/>
  <c r="C25" i="9" s="1"/>
  <c r="K20" i="9"/>
  <c r="I34" i="9" l="1"/>
  <c r="M39" i="9"/>
  <c r="I31" i="9"/>
  <c r="C6" i="9"/>
  <c r="E42" i="7"/>
  <c r="E14" i="11"/>
  <c r="D14" i="11"/>
  <c r="I88" i="17"/>
  <c r="I96" i="17"/>
  <c r="I87" i="17"/>
  <c r="I89" i="17"/>
  <c r="I83" i="17"/>
  <c r="I95" i="17"/>
  <c r="I86" i="17"/>
  <c r="I99" i="17"/>
  <c r="I84" i="17"/>
  <c r="I91" i="17"/>
  <c r="I93" i="17"/>
  <c r="I101" i="17"/>
  <c r="I85" i="17"/>
  <c r="I94" i="17"/>
  <c r="I92" i="17"/>
  <c r="I97" i="17"/>
  <c r="I98" i="17"/>
  <c r="I100" i="17"/>
  <c r="I90" i="17"/>
  <c r="C7" i="9"/>
  <c r="I36" i="9"/>
  <c r="H20" i="9"/>
  <c r="I11" i="9"/>
  <c r="M20" i="9"/>
  <c r="E45" i="7" s="1"/>
  <c r="E46" i="7" s="1"/>
  <c r="F78" i="17"/>
  <c r="I67" i="17"/>
  <c r="J67" i="17" s="1"/>
  <c r="K67" i="17" s="1"/>
  <c r="I76" i="17"/>
  <c r="J76" i="17" s="1"/>
  <c r="K76" i="17" s="1"/>
  <c r="I58" i="17"/>
  <c r="J58" i="17" s="1"/>
  <c r="K58" i="17" s="1"/>
  <c r="I69" i="17"/>
  <c r="J69" i="17" s="1"/>
  <c r="K69" i="17" s="1"/>
  <c r="I65" i="17"/>
  <c r="J65" i="17" s="1"/>
  <c r="K65" i="17" s="1"/>
  <c r="I59" i="17"/>
  <c r="J59" i="17" s="1"/>
  <c r="K59" i="17" s="1"/>
  <c r="I71" i="17"/>
  <c r="J71" i="17" s="1"/>
  <c r="K71" i="17" s="1"/>
  <c r="I62" i="17"/>
  <c r="J62" i="17" s="1"/>
  <c r="K62" i="17" s="1"/>
  <c r="I75" i="17"/>
  <c r="J75" i="17" s="1"/>
  <c r="K75" i="17" s="1"/>
  <c r="C78" i="17"/>
  <c r="I77" i="17"/>
  <c r="J77" i="17" s="1"/>
  <c r="K77" i="17" s="1"/>
  <c r="I61" i="17"/>
  <c r="J61" i="17" s="1"/>
  <c r="K61" i="17" s="1"/>
  <c r="I70" i="17"/>
  <c r="J70" i="17" s="1"/>
  <c r="K70" i="17" s="1"/>
  <c r="I73" i="17"/>
  <c r="J73" i="17" s="1"/>
  <c r="K73" i="17" s="1"/>
  <c r="I74" i="17"/>
  <c r="J74" i="17" s="1"/>
  <c r="K74" i="17" s="1"/>
  <c r="I63" i="17"/>
  <c r="J63" i="17" s="1"/>
  <c r="K63" i="17" s="1"/>
  <c r="D78" i="17"/>
  <c r="D102" i="17"/>
  <c r="I64" i="17"/>
  <c r="J64" i="17" s="1"/>
  <c r="K64" i="17" s="1"/>
  <c r="I72" i="17"/>
  <c r="J72" i="17" s="1"/>
  <c r="K72" i="17" s="1"/>
  <c r="I60" i="17"/>
  <c r="J60" i="17" s="1"/>
  <c r="K60" i="17" s="1"/>
  <c r="H78" i="17"/>
  <c r="I66" i="17"/>
  <c r="J66" i="17" s="1"/>
  <c r="K66" i="17" s="1"/>
  <c r="I68" i="17"/>
  <c r="J68" i="17" s="1"/>
  <c r="K68" i="17" s="1"/>
  <c r="F102" i="17"/>
  <c r="H102" i="17"/>
  <c r="G102" i="17"/>
  <c r="C53" i="17"/>
  <c r="B78" i="17"/>
  <c r="E53" i="17"/>
  <c r="D39" i="9"/>
  <c r="C46" i="9" l="1"/>
  <c r="I82" i="17"/>
  <c r="I102" i="17" s="1"/>
  <c r="B102" i="17"/>
  <c r="C102" i="17"/>
  <c r="I78" i="17"/>
  <c r="I15" i="9"/>
  <c r="I38" i="9"/>
  <c r="I39" i="9" s="1"/>
  <c r="C27" i="9" l="1"/>
  <c r="C45" i="9"/>
  <c r="C47" i="9" s="1"/>
  <c r="K78" i="17"/>
  <c r="J18" i="9" s="1"/>
  <c r="J78" i="17"/>
  <c r="I13" i="9"/>
  <c r="C58" i="16"/>
  <c r="C61" i="16"/>
  <c r="G58" i="16"/>
  <c r="D58" i="16"/>
  <c r="A65" i="16" l="1"/>
  <c r="I20" i="9"/>
  <c r="I8" i="16"/>
  <c r="I9" i="16"/>
  <c r="I10" i="16"/>
  <c r="I11" i="16"/>
  <c r="C98" i="2"/>
  <c r="C99" i="2"/>
  <c r="C100" i="2"/>
  <c r="C101" i="2"/>
  <c r="C102" i="2"/>
  <c r="C103" i="2"/>
  <c r="C104" i="2"/>
  <c r="C105" i="2"/>
  <c r="C106" i="2"/>
  <c r="C107" i="2"/>
  <c r="C108" i="2"/>
  <c r="C109" i="2"/>
  <c r="C110" i="2"/>
  <c r="C111" i="2"/>
  <c r="C112" i="2"/>
  <c r="C113" i="2"/>
  <c r="C114" i="2"/>
  <c r="C115" i="2"/>
  <c r="C116" i="2"/>
  <c r="C97" i="2"/>
  <c r="C363" i="2"/>
  <c r="B363" i="2"/>
  <c r="C362" i="2"/>
  <c r="B362" i="2"/>
  <c r="C361" i="2"/>
  <c r="B361" i="2"/>
  <c r="C360" i="2"/>
  <c r="B360" i="2"/>
  <c r="C359" i="2"/>
  <c r="B359" i="2"/>
  <c r="D357" i="2"/>
  <c r="D356" i="2"/>
  <c r="D355" i="2"/>
  <c r="D354" i="2"/>
  <c r="D353" i="2"/>
  <c r="D351" i="2"/>
  <c r="D363" i="2" s="1"/>
  <c r="D350" i="2"/>
  <c r="D362" i="2" s="1"/>
  <c r="D349" i="2"/>
  <c r="D361" i="2" s="1"/>
  <c r="D348" i="2"/>
  <c r="D360" i="2" s="1"/>
  <c r="D347" i="2"/>
  <c r="D359" i="2" s="1"/>
  <c r="D309" i="2"/>
  <c r="F310" i="2"/>
  <c r="E310" i="2"/>
  <c r="D310" i="2"/>
  <c r="F309" i="2"/>
  <c r="E309" i="2"/>
  <c r="D7" i="16" l="1"/>
  <c r="D6" i="16"/>
  <c r="D13" i="16" l="1"/>
  <c r="D12" i="16"/>
  <c r="F8" i="16" l="1"/>
  <c r="F9" i="16"/>
  <c r="F10" i="16"/>
  <c r="F11" i="16"/>
  <c r="E7" i="16" l="1"/>
  <c r="I7" i="16" s="1"/>
  <c r="F7" i="16" l="1"/>
  <c r="E12" i="16" s="1"/>
  <c r="I12" i="16" s="1"/>
  <c r="F6" i="16"/>
  <c r="E13" i="16" s="1"/>
  <c r="I13" i="16" s="1"/>
  <c r="F12" i="16"/>
  <c r="F13" i="16" l="1"/>
  <c r="A66" i="16" s="1"/>
  <c r="B22" i="15"/>
  <c r="B3" i="15"/>
  <c r="B9" i="15"/>
  <c r="C8" i="15"/>
  <c r="C7" i="15"/>
  <c r="C54" i="16" l="1"/>
  <c r="B54" i="16"/>
  <c r="A67" i="16"/>
  <c r="A68" i="16" s="1"/>
  <c r="B78" i="16" s="1"/>
  <c r="C78" i="16" s="1"/>
  <c r="H18" i="16"/>
  <c r="C9" i="15"/>
  <c r="B20" i="15"/>
  <c r="C20" i="15" s="1"/>
  <c r="D20" i="15" s="1"/>
  <c r="B74" i="16" l="1"/>
  <c r="B84" i="16"/>
  <c r="C84" i="16" s="1"/>
  <c r="D84" i="16" s="1"/>
  <c r="E84" i="16" s="1"/>
  <c r="B90" i="16"/>
  <c r="C90" i="16" s="1"/>
  <c r="D90" i="16" s="1"/>
  <c r="E90" i="16" s="1"/>
  <c r="B77" i="16"/>
  <c r="C77" i="16" s="1"/>
  <c r="D77" i="16" s="1"/>
  <c r="E77" i="16" s="1"/>
  <c r="B92" i="16"/>
  <c r="C92" i="16" s="1"/>
  <c r="D92" i="16" s="1"/>
  <c r="E92" i="16" s="1"/>
  <c r="B79" i="16"/>
  <c r="C79" i="16" s="1"/>
  <c r="D79" i="16" s="1"/>
  <c r="E79" i="16" s="1"/>
  <c r="B91" i="16"/>
  <c r="C91" i="16" s="1"/>
  <c r="D91" i="16" s="1"/>
  <c r="E91" i="16" s="1"/>
  <c r="D78" i="16"/>
  <c r="E78" i="16" s="1"/>
  <c r="B81" i="16"/>
  <c r="C81" i="16" s="1"/>
  <c r="D81" i="16" s="1"/>
  <c r="E81" i="16" s="1"/>
  <c r="B80" i="16"/>
  <c r="C80" i="16" s="1"/>
  <c r="D80" i="16" s="1"/>
  <c r="E80" i="16" s="1"/>
  <c r="B76" i="16"/>
  <c r="C76" i="16" s="1"/>
  <c r="D76" i="16" s="1"/>
  <c r="E76" i="16" s="1"/>
  <c r="B85" i="16"/>
  <c r="C85" i="16" s="1"/>
  <c r="D85" i="16" s="1"/>
  <c r="E85" i="16" s="1"/>
  <c r="B86" i="16"/>
  <c r="C86" i="16" s="1"/>
  <c r="D86" i="16" s="1"/>
  <c r="E86" i="16" s="1"/>
  <c r="B82" i="16"/>
  <c r="C82" i="16" s="1"/>
  <c r="D82" i="16" s="1"/>
  <c r="E82" i="16" s="1"/>
  <c r="B93" i="16"/>
  <c r="C93" i="16" s="1"/>
  <c r="D93" i="16" s="1"/>
  <c r="E93" i="16" s="1"/>
  <c r="B88" i="16"/>
  <c r="C88" i="16" s="1"/>
  <c r="D88" i="16" s="1"/>
  <c r="E88" i="16" s="1"/>
  <c r="B83" i="16"/>
  <c r="C83" i="16" s="1"/>
  <c r="D83" i="16" s="1"/>
  <c r="E83" i="16" s="1"/>
  <c r="B75" i="16"/>
  <c r="C75" i="16" s="1"/>
  <c r="D75" i="16" s="1"/>
  <c r="E75" i="16" s="1"/>
  <c r="B87" i="16"/>
  <c r="C87" i="16" s="1"/>
  <c r="D87" i="16" s="1"/>
  <c r="E87" i="16" s="1"/>
  <c r="B89" i="16"/>
  <c r="C89" i="16" s="1"/>
  <c r="D89" i="16" s="1"/>
  <c r="E89" i="16" s="1"/>
  <c r="E20" i="15"/>
  <c r="B23" i="15"/>
  <c r="C23" i="15" s="1"/>
  <c r="D23" i="15" s="1"/>
  <c r="B27" i="15"/>
  <c r="C27" i="15" s="1"/>
  <c r="D27" i="15" s="1"/>
  <c r="B31" i="15"/>
  <c r="C31" i="15" s="1"/>
  <c r="D31" i="15" s="1"/>
  <c r="B35" i="15"/>
  <c r="C35" i="15" s="1"/>
  <c r="D35" i="15" s="1"/>
  <c r="B39" i="15"/>
  <c r="C39" i="15" s="1"/>
  <c r="D39" i="15" s="1"/>
  <c r="B24" i="15"/>
  <c r="C24" i="15" s="1"/>
  <c r="D24" i="15" s="1"/>
  <c r="B28" i="15"/>
  <c r="C28" i="15" s="1"/>
  <c r="D28" i="15" s="1"/>
  <c r="B32" i="15"/>
  <c r="C32" i="15" s="1"/>
  <c r="D32" i="15" s="1"/>
  <c r="B36" i="15"/>
  <c r="C36" i="15" s="1"/>
  <c r="D36" i="15" s="1"/>
  <c r="C22" i="15"/>
  <c r="D22" i="15" s="1"/>
  <c r="B25" i="15"/>
  <c r="C25" i="15" s="1"/>
  <c r="D25" i="15" s="1"/>
  <c r="B29" i="15"/>
  <c r="C29" i="15" s="1"/>
  <c r="D29" i="15" s="1"/>
  <c r="B33" i="15"/>
  <c r="C33" i="15" s="1"/>
  <c r="D33" i="15" s="1"/>
  <c r="B37" i="15"/>
  <c r="C37" i="15" s="1"/>
  <c r="D37" i="15" s="1"/>
  <c r="B21" i="15"/>
  <c r="C21" i="15" s="1"/>
  <c r="B26" i="15"/>
  <c r="C26" i="15" s="1"/>
  <c r="D26" i="15" s="1"/>
  <c r="B30" i="15"/>
  <c r="C30" i="15" s="1"/>
  <c r="D30" i="15" s="1"/>
  <c r="B34" i="15"/>
  <c r="C34" i="15" s="1"/>
  <c r="D34" i="15" s="1"/>
  <c r="B38" i="15"/>
  <c r="C38" i="15" s="1"/>
  <c r="D38" i="15" s="1"/>
  <c r="C9" i="2"/>
  <c r="C8" i="2"/>
  <c r="B10" i="8"/>
  <c r="B11" i="8"/>
  <c r="B9" i="8"/>
  <c r="D61" i="1"/>
  <c r="B59" i="1"/>
  <c r="B60" i="1"/>
  <c r="B61" i="1"/>
  <c r="A60" i="1"/>
  <c r="A61" i="1"/>
  <c r="A59" i="1"/>
  <c r="A58" i="1"/>
  <c r="A10" i="8"/>
  <c r="A11" i="8"/>
  <c r="A9" i="8"/>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I273" i="2"/>
  <c r="H273" i="2"/>
  <c r="G273" i="2"/>
  <c r="F273" i="2"/>
  <c r="E273" i="2"/>
  <c r="B273" i="2"/>
  <c r="D273" i="2"/>
  <c r="C273" i="2"/>
  <c r="B272" i="2"/>
  <c r="I272" i="2"/>
  <c r="H272" i="2"/>
  <c r="G272" i="2"/>
  <c r="F272" i="2"/>
  <c r="E272" i="2"/>
  <c r="D272" i="2"/>
  <c r="C272" i="2"/>
  <c r="A56" i="2"/>
  <c r="D21" i="15" l="1"/>
  <c r="E21" i="15" s="1"/>
  <c r="C74" i="16"/>
  <c r="D74" i="16" s="1"/>
  <c r="E74" i="16" s="1"/>
  <c r="E34" i="16"/>
  <c r="F34" i="16" s="1"/>
  <c r="I34" i="16"/>
  <c r="J34" i="16" s="1"/>
  <c r="K34" i="16" s="1"/>
  <c r="D37" i="16"/>
  <c r="D46" i="16"/>
  <c r="D44" i="16"/>
  <c r="D51" i="16"/>
  <c r="D48" i="16"/>
  <c r="D52" i="16"/>
  <c r="D47" i="16"/>
  <c r="D49" i="16"/>
  <c r="D43" i="16"/>
  <c r="D50" i="16"/>
  <c r="D53" i="16"/>
  <c r="D45" i="16"/>
  <c r="D41" i="16"/>
  <c r="D39" i="16"/>
  <c r="D42" i="16"/>
  <c r="D40" i="16"/>
  <c r="B40" i="15"/>
  <c r="C40" i="15"/>
  <c r="B10" i="2"/>
  <c r="D40" i="15" l="1"/>
  <c r="E35" i="16"/>
  <c r="F35" i="16" s="1"/>
  <c r="G35" i="16" s="1"/>
  <c r="I35" i="16"/>
  <c r="J35" i="16" s="1"/>
  <c r="K35" i="16" s="1"/>
  <c r="E37" i="16"/>
  <c r="F37" i="16" s="1"/>
  <c r="I37" i="16"/>
  <c r="J37" i="16" s="1"/>
  <c r="K37" i="16" s="1"/>
  <c r="E46" i="16"/>
  <c r="F46" i="16" s="1"/>
  <c r="I46" i="16"/>
  <c r="J46" i="16" s="1"/>
  <c r="K46" i="16" s="1"/>
  <c r="E45" i="16"/>
  <c r="F45" i="16" s="1"/>
  <c r="I45" i="16"/>
  <c r="J45" i="16" s="1"/>
  <c r="K45" i="16" s="1"/>
  <c r="E42" i="16"/>
  <c r="I42" i="16"/>
  <c r="J42" i="16" s="1"/>
  <c r="K42" i="16" s="1"/>
  <c r="E53" i="16"/>
  <c r="F53" i="16" s="1"/>
  <c r="I53" i="16"/>
  <c r="J53" i="16" s="1"/>
  <c r="K53" i="16" s="1"/>
  <c r="E47" i="16"/>
  <c r="I47" i="16"/>
  <c r="J47" i="16" s="1"/>
  <c r="K47" i="16" s="1"/>
  <c r="E48" i="16"/>
  <c r="F48" i="16" s="1"/>
  <c r="I48" i="16"/>
  <c r="J48" i="16" s="1"/>
  <c r="K48" i="16" s="1"/>
  <c r="E44" i="16"/>
  <c r="F44" i="16" s="1"/>
  <c r="I44" i="16"/>
  <c r="J44" i="16" s="1"/>
  <c r="K44" i="16" s="1"/>
  <c r="E40" i="16"/>
  <c r="F40" i="16" s="1"/>
  <c r="I40" i="16"/>
  <c r="J40" i="16" s="1"/>
  <c r="K40" i="16" s="1"/>
  <c r="E41" i="16"/>
  <c r="I41" i="16"/>
  <c r="J41" i="16" s="1"/>
  <c r="K41" i="16" s="1"/>
  <c r="E43" i="16"/>
  <c r="F43" i="16" s="1"/>
  <c r="I43" i="16"/>
  <c r="J43" i="16" s="1"/>
  <c r="K43" i="16" s="1"/>
  <c r="E36" i="16"/>
  <c r="F36" i="16" s="1"/>
  <c r="I36" i="16"/>
  <c r="J36" i="16" s="1"/>
  <c r="K36" i="16" s="1"/>
  <c r="E49" i="16"/>
  <c r="F49" i="16" s="1"/>
  <c r="I49" i="16"/>
  <c r="J49" i="16" s="1"/>
  <c r="K49" i="16" s="1"/>
  <c r="E39" i="16"/>
  <c r="F39" i="16" s="1"/>
  <c r="I39" i="16"/>
  <c r="J39" i="16" s="1"/>
  <c r="K39" i="16" s="1"/>
  <c r="E50" i="16"/>
  <c r="F50" i="16" s="1"/>
  <c r="I50" i="16"/>
  <c r="J50" i="16" s="1"/>
  <c r="K50" i="16" s="1"/>
  <c r="E52" i="16"/>
  <c r="F52" i="16" s="1"/>
  <c r="I52" i="16"/>
  <c r="J52" i="16" s="1"/>
  <c r="K52" i="16" s="1"/>
  <c r="E51" i="16"/>
  <c r="F51" i="16" s="1"/>
  <c r="I51" i="16"/>
  <c r="J51" i="16" s="1"/>
  <c r="K51" i="16" s="1"/>
  <c r="I38" i="16"/>
  <c r="J38" i="16" s="1"/>
  <c r="K38" i="16" s="1"/>
  <c r="E38" i="16"/>
  <c r="F38" i="16" s="1"/>
  <c r="B94" i="16"/>
  <c r="E10" i="7" s="1"/>
  <c r="D54" i="16"/>
  <c r="E18" i="7" s="1"/>
  <c r="F41" i="16"/>
  <c r="F42" i="16"/>
  <c r="F47" i="16"/>
  <c r="G34" i="16"/>
  <c r="A54" i="8"/>
  <c r="A55" i="8"/>
  <c r="A53" i="8"/>
  <c r="A11" i="3"/>
  <c r="E54" i="16" l="1"/>
  <c r="F54" i="16"/>
  <c r="A50" i="8"/>
  <c r="B21" i="2" l="1"/>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197" i="2"/>
  <c r="B13" i="1" l="1"/>
  <c r="E186" i="2"/>
  <c r="D186" i="2"/>
  <c r="C186" i="2"/>
  <c r="B186" i="2"/>
  <c r="I73" i="3" l="1"/>
  <c r="A94" i="3"/>
  <c r="A64" i="3"/>
  <c r="A87" i="3" s="1"/>
  <c r="A51" i="3"/>
  <c r="A74" i="3" s="1"/>
  <c r="A52" i="3"/>
  <c r="A75" i="3" s="1"/>
  <c r="A53" i="3"/>
  <c r="A76" i="3" s="1"/>
  <c r="A54" i="3"/>
  <c r="A77" i="3" s="1"/>
  <c r="A55" i="3"/>
  <c r="A78" i="3" s="1"/>
  <c r="A56" i="3"/>
  <c r="A79" i="3" s="1"/>
  <c r="A57" i="3"/>
  <c r="A80" i="3" s="1"/>
  <c r="A58" i="3"/>
  <c r="A81" i="3" s="1"/>
  <c r="A59" i="3"/>
  <c r="A82" i="3" s="1"/>
  <c r="A60" i="3"/>
  <c r="A83" i="3" s="1"/>
  <c r="A61" i="3"/>
  <c r="A84" i="3" s="1"/>
  <c r="A62" i="3"/>
  <c r="A85" i="3" s="1"/>
  <c r="A63" i="3"/>
  <c r="A86" i="3" s="1"/>
  <c r="A65" i="3"/>
  <c r="A88" i="3" s="1"/>
  <c r="A66" i="3"/>
  <c r="A89" i="3" s="1"/>
  <c r="A67" i="3"/>
  <c r="A90" i="3" s="1"/>
  <c r="A68" i="3"/>
  <c r="A91" i="3" s="1"/>
  <c r="A69" i="3"/>
  <c r="A92" i="3" s="1"/>
  <c r="A70" i="3"/>
  <c r="A93" i="3" s="1"/>
  <c r="B73" i="3"/>
  <c r="C50" i="3"/>
  <c r="C73" i="3" s="1"/>
  <c r="D50" i="3"/>
  <c r="D73" i="3" s="1"/>
  <c r="E50" i="3"/>
  <c r="E73" i="3" s="1"/>
  <c r="F50" i="3"/>
  <c r="F73" i="3" s="1"/>
  <c r="G50" i="3"/>
  <c r="G73" i="3" s="1"/>
  <c r="H50" i="3"/>
  <c r="H73" i="3" s="1"/>
  <c r="A50" i="3"/>
  <c r="A49" i="3"/>
  <c r="A43" i="3"/>
  <c r="A25" i="3"/>
  <c r="A26" i="3"/>
  <c r="A27" i="3"/>
  <c r="A28" i="3"/>
  <c r="A29" i="3"/>
  <c r="A30" i="3"/>
  <c r="A31" i="3"/>
  <c r="A32" i="3"/>
  <c r="A33" i="3"/>
  <c r="A34" i="3"/>
  <c r="A35" i="3"/>
  <c r="A36" i="3"/>
  <c r="A37" i="3"/>
  <c r="A38" i="3"/>
  <c r="A39" i="3"/>
  <c r="A40" i="3"/>
  <c r="A41" i="3"/>
  <c r="A42" i="3"/>
  <c r="A24" i="3"/>
  <c r="A12" i="3"/>
  <c r="B12" i="3"/>
  <c r="A13" i="3"/>
  <c r="B13" i="3"/>
  <c r="D13" i="3"/>
  <c r="B11" i="3"/>
  <c r="D11" i="3"/>
  <c r="C65" i="2"/>
  <c r="C66" i="2"/>
  <c r="C67" i="2"/>
  <c r="A7" i="3" s="1"/>
  <c r="A8" i="3" s="1"/>
  <c r="C68" i="2"/>
  <c r="C64" i="2"/>
  <c r="A3" i="3" l="1"/>
  <c r="A4" i="3" s="1"/>
  <c r="B24" i="3" s="1"/>
  <c r="E24" i="3" s="1"/>
  <c r="E22" i="1"/>
  <c r="A22" i="1"/>
  <c r="A66" i="1"/>
  <c r="A67" i="1"/>
  <c r="A68" i="1"/>
  <c r="A69" i="1"/>
  <c r="A70" i="1"/>
  <c r="A71" i="1"/>
  <c r="A72" i="1"/>
  <c r="A73" i="1"/>
  <c r="A74" i="1"/>
  <c r="A75" i="1"/>
  <c r="A76" i="1"/>
  <c r="A77" i="1"/>
  <c r="A78" i="1"/>
  <c r="A79" i="1"/>
  <c r="A80" i="1"/>
  <c r="A81" i="1"/>
  <c r="A82" i="1"/>
  <c r="A83" i="1"/>
  <c r="A84" i="1"/>
  <c r="A65" i="1"/>
  <c r="K53" i="1"/>
  <c r="K52" i="1"/>
  <c r="A53" i="1"/>
  <c r="B53" i="1"/>
  <c r="B54" i="1"/>
  <c r="B52" i="1"/>
  <c r="A52" i="1"/>
  <c r="A56" i="1" s="1"/>
  <c r="A61" i="2"/>
  <c r="A54" i="1" s="1"/>
  <c r="J25" i="1" l="1"/>
  <c r="I25" i="1" s="1"/>
  <c r="J24" i="1"/>
  <c r="B68" i="1"/>
  <c r="C68" i="1" s="1"/>
  <c r="D68" i="1" s="1"/>
  <c r="B72" i="1"/>
  <c r="C72" i="1" s="1"/>
  <c r="D72" i="1" s="1"/>
  <c r="B76" i="1"/>
  <c r="C76" i="1" s="1"/>
  <c r="D76" i="1" s="1"/>
  <c r="B80" i="1"/>
  <c r="C80" i="1" s="1"/>
  <c r="D80" i="1" s="1"/>
  <c r="B84" i="1"/>
  <c r="C84" i="1" s="1"/>
  <c r="D84" i="1" s="1"/>
  <c r="B69" i="1"/>
  <c r="C69" i="1" s="1"/>
  <c r="D69" i="1" s="1"/>
  <c r="B73" i="1"/>
  <c r="C73" i="1" s="1"/>
  <c r="D73" i="1" s="1"/>
  <c r="B77" i="1"/>
  <c r="C77" i="1" s="1"/>
  <c r="D77" i="1" s="1"/>
  <c r="B81" i="1"/>
  <c r="C81" i="1" s="1"/>
  <c r="D81" i="1" s="1"/>
  <c r="B67" i="1"/>
  <c r="C67" i="1" s="1"/>
  <c r="D67" i="1" s="1"/>
  <c r="B70" i="1"/>
  <c r="C70" i="1" s="1"/>
  <c r="D70" i="1" s="1"/>
  <c r="B74" i="1"/>
  <c r="C74" i="1" s="1"/>
  <c r="D74" i="1" s="1"/>
  <c r="B78" i="1"/>
  <c r="C78" i="1" s="1"/>
  <c r="B82" i="1"/>
  <c r="C82" i="1" s="1"/>
  <c r="D82" i="1" s="1"/>
  <c r="B66" i="1"/>
  <c r="C66" i="1" s="1"/>
  <c r="D66" i="1" s="1"/>
  <c r="B71" i="1"/>
  <c r="C71" i="1" s="1"/>
  <c r="D71" i="1" s="1"/>
  <c r="B75" i="1"/>
  <c r="C75" i="1" s="1"/>
  <c r="D75" i="1" s="1"/>
  <c r="B79" i="1"/>
  <c r="C79" i="1" s="1"/>
  <c r="D79" i="1" s="1"/>
  <c r="B83" i="1"/>
  <c r="C83" i="1" s="1"/>
  <c r="D83" i="1" s="1"/>
  <c r="B65" i="1"/>
  <c r="C65" i="1" s="1"/>
  <c r="D65" i="1" s="1"/>
  <c r="E65" i="1" s="1"/>
  <c r="B30" i="3"/>
  <c r="E30" i="3" s="1"/>
  <c r="F30" i="3" s="1"/>
  <c r="B25" i="3"/>
  <c r="E25" i="3" s="1"/>
  <c r="F25" i="3" s="1"/>
  <c r="B52" i="3" s="1"/>
  <c r="B29" i="3"/>
  <c r="E29" i="3" s="1"/>
  <c r="F29" i="3" s="1"/>
  <c r="B41" i="3"/>
  <c r="E41" i="3" s="1"/>
  <c r="F41" i="3" s="1"/>
  <c r="B26" i="3"/>
  <c r="B37" i="3"/>
  <c r="E37" i="3" s="1"/>
  <c r="F37" i="3" s="1"/>
  <c r="B40" i="3"/>
  <c r="E40" i="3" s="1"/>
  <c r="F40" i="3" s="1"/>
  <c r="B43" i="3"/>
  <c r="E43" i="3" s="1"/>
  <c r="F43" i="3" s="1"/>
  <c r="B27" i="3"/>
  <c r="E27" i="3" s="1"/>
  <c r="F27" i="3" s="1"/>
  <c r="B34" i="3"/>
  <c r="E34" i="3" s="1"/>
  <c r="F34" i="3" s="1"/>
  <c r="B35" i="3"/>
  <c r="E35" i="3" s="1"/>
  <c r="F35" i="3" s="1"/>
  <c r="B28" i="3"/>
  <c r="E28" i="3" s="1"/>
  <c r="B31" i="3"/>
  <c r="E31" i="3" s="1"/>
  <c r="F31" i="3" s="1"/>
  <c r="B33" i="3"/>
  <c r="E33" i="3" s="1"/>
  <c r="F33" i="3" s="1"/>
  <c r="B36" i="3"/>
  <c r="E36" i="3" s="1"/>
  <c r="F36" i="3" s="1"/>
  <c r="B39" i="3"/>
  <c r="E39" i="3" s="1"/>
  <c r="F39" i="3" s="1"/>
  <c r="B32" i="3"/>
  <c r="E32" i="3" s="1"/>
  <c r="F32" i="3" s="1"/>
  <c r="B42" i="3"/>
  <c r="E42" i="3" s="1"/>
  <c r="F42" i="3" s="1"/>
  <c r="B38" i="3"/>
  <c r="E38" i="3" s="1"/>
  <c r="F38" i="3" s="1"/>
  <c r="D78" i="1"/>
  <c r="F28" i="3" l="1"/>
  <c r="H28" i="3"/>
  <c r="D11" i="11"/>
  <c r="F11" i="11"/>
  <c r="I24" i="1"/>
  <c r="I26" i="1" s="1"/>
  <c r="E11" i="11"/>
  <c r="J28" i="1"/>
  <c r="E18" i="11"/>
  <c r="I18" i="11" s="1"/>
  <c r="F18" i="11"/>
  <c r="D18" i="11"/>
  <c r="E26" i="3"/>
  <c r="C24" i="3"/>
  <c r="F24" i="3"/>
  <c r="B51" i="3" s="1"/>
  <c r="B74" i="3" s="1"/>
  <c r="B85" i="1"/>
  <c r="E8" i="7" s="1"/>
  <c r="C25" i="3"/>
  <c r="C32" i="3"/>
  <c r="C35" i="3"/>
  <c r="C42" i="3"/>
  <c r="C41" i="3"/>
  <c r="C26" i="3"/>
  <c r="C28" i="3"/>
  <c r="C31" i="3"/>
  <c r="C38" i="3"/>
  <c r="C29" i="3"/>
  <c r="C37" i="3"/>
  <c r="C40" i="3"/>
  <c r="C43" i="3"/>
  <c r="C27" i="3"/>
  <c r="C34" i="3"/>
  <c r="C33" i="3"/>
  <c r="C36" i="3"/>
  <c r="C39" i="3"/>
  <c r="C30" i="3"/>
  <c r="B44" i="3"/>
  <c r="E21" i="7" s="1"/>
  <c r="D85" i="1"/>
  <c r="C85" i="1"/>
  <c r="H18" i="11" l="1"/>
  <c r="J18" i="11"/>
  <c r="K18" i="11" s="1"/>
  <c r="F12" i="11"/>
  <c r="E12" i="11"/>
  <c r="D12" i="11"/>
  <c r="E44" i="3"/>
  <c r="E22" i="7" s="1"/>
  <c r="F26" i="3"/>
  <c r="C53" i="3" s="1"/>
  <c r="C44" i="3"/>
  <c r="E57" i="3"/>
  <c r="I57" i="3"/>
  <c r="K57" i="3" s="1"/>
  <c r="D57" i="3"/>
  <c r="B57" i="3"/>
  <c r="F57" i="3"/>
  <c r="H57" i="3"/>
  <c r="C57" i="3"/>
  <c r="G57" i="3"/>
  <c r="E66" i="3"/>
  <c r="I66" i="3"/>
  <c r="K66" i="3" s="1"/>
  <c r="D66" i="3"/>
  <c r="B66" i="3"/>
  <c r="F66" i="3"/>
  <c r="C66" i="3"/>
  <c r="G66" i="3"/>
  <c r="H66" i="3"/>
  <c r="E60" i="3"/>
  <c r="I60" i="3"/>
  <c r="K60" i="3" s="1"/>
  <c r="D60" i="3"/>
  <c r="B60" i="3"/>
  <c r="F60" i="3"/>
  <c r="C60" i="3"/>
  <c r="G60" i="3"/>
  <c r="H60" i="3"/>
  <c r="E54" i="3"/>
  <c r="I54" i="3"/>
  <c r="K54" i="3" s="1"/>
  <c r="H54" i="3"/>
  <c r="B54" i="3"/>
  <c r="F54" i="3"/>
  <c r="D54" i="3"/>
  <c r="C54" i="3"/>
  <c r="G54" i="3"/>
  <c r="E67" i="3"/>
  <c r="I67" i="3"/>
  <c r="K67" i="3" s="1"/>
  <c r="H67" i="3"/>
  <c r="B67" i="3"/>
  <c r="F67" i="3"/>
  <c r="D67" i="3"/>
  <c r="C67" i="3"/>
  <c r="G67" i="3"/>
  <c r="E56" i="3"/>
  <c r="I56" i="3"/>
  <c r="K56" i="3" s="1"/>
  <c r="B56" i="3"/>
  <c r="F56" i="3"/>
  <c r="H56" i="3"/>
  <c r="C56" i="3"/>
  <c r="G56" i="3"/>
  <c r="D56" i="3"/>
  <c r="E58" i="3"/>
  <c r="I58" i="3"/>
  <c r="K58" i="3" s="1"/>
  <c r="H58" i="3"/>
  <c r="B58" i="3"/>
  <c r="F58" i="3"/>
  <c r="C58" i="3"/>
  <c r="G58" i="3"/>
  <c r="D58" i="3"/>
  <c r="E69" i="3"/>
  <c r="I69" i="3"/>
  <c r="K69" i="3" s="1"/>
  <c r="D69" i="3"/>
  <c r="B69" i="3"/>
  <c r="F69" i="3"/>
  <c r="C69" i="3"/>
  <c r="G69" i="3"/>
  <c r="H69" i="3"/>
  <c r="E59" i="3"/>
  <c r="I59" i="3"/>
  <c r="K59" i="3" s="1"/>
  <c r="B59" i="3"/>
  <c r="F59" i="3"/>
  <c r="H59" i="3"/>
  <c r="C59" i="3"/>
  <c r="G59" i="3"/>
  <c r="D59" i="3"/>
  <c r="E63" i="3"/>
  <c r="I63" i="3"/>
  <c r="K63" i="3" s="1"/>
  <c r="D63" i="3"/>
  <c r="B63" i="3"/>
  <c r="F63" i="3"/>
  <c r="H63" i="3"/>
  <c r="C63" i="3"/>
  <c r="G63" i="3"/>
  <c r="E61" i="3"/>
  <c r="I61" i="3"/>
  <c r="K61" i="3" s="1"/>
  <c r="H61" i="3"/>
  <c r="B61" i="3"/>
  <c r="F61" i="3"/>
  <c r="D61" i="3"/>
  <c r="C61" i="3"/>
  <c r="G61" i="3"/>
  <c r="E70" i="3"/>
  <c r="I70" i="3"/>
  <c r="K70" i="3" s="1"/>
  <c r="B70" i="3"/>
  <c r="F70" i="3"/>
  <c r="D70" i="3"/>
  <c r="H70" i="3"/>
  <c r="C70" i="3"/>
  <c r="G70" i="3"/>
  <c r="E64" i="3"/>
  <c r="I64" i="3"/>
  <c r="K64" i="3" s="1"/>
  <c r="H64" i="3"/>
  <c r="B64" i="3"/>
  <c r="F64" i="3"/>
  <c r="C64" i="3"/>
  <c r="G64" i="3"/>
  <c r="D64" i="3"/>
  <c r="E65" i="3"/>
  <c r="I65" i="3"/>
  <c r="K65" i="3" s="1"/>
  <c r="B65" i="3"/>
  <c r="F65" i="3"/>
  <c r="D65" i="3"/>
  <c r="C65" i="3"/>
  <c r="G65" i="3"/>
  <c r="H65" i="3"/>
  <c r="E55" i="3"/>
  <c r="I55" i="3"/>
  <c r="K55" i="3" s="1"/>
  <c r="H55" i="3"/>
  <c r="B55" i="3"/>
  <c r="F55" i="3"/>
  <c r="C55" i="3"/>
  <c r="G55" i="3"/>
  <c r="D55" i="3"/>
  <c r="E68" i="3"/>
  <c r="I68" i="3"/>
  <c r="K68" i="3" s="1"/>
  <c r="B68" i="3"/>
  <c r="F68" i="3"/>
  <c r="H68" i="3"/>
  <c r="C68" i="3"/>
  <c r="G68" i="3"/>
  <c r="D68" i="3"/>
  <c r="E62" i="3"/>
  <c r="I62" i="3"/>
  <c r="K62" i="3" s="1"/>
  <c r="B62" i="3"/>
  <c r="F62" i="3"/>
  <c r="H62" i="3"/>
  <c r="C62" i="3"/>
  <c r="G62" i="3"/>
  <c r="D62" i="3"/>
  <c r="C52" i="3"/>
  <c r="G52" i="3"/>
  <c r="D52" i="3"/>
  <c r="H52" i="3"/>
  <c r="E52" i="3"/>
  <c r="I52" i="3"/>
  <c r="K52" i="3" s="1"/>
  <c r="F52" i="3"/>
  <c r="B181" i="2"/>
  <c r="B50" i="8"/>
  <c r="D46" i="8"/>
  <c r="B46" i="8"/>
  <c r="E53" i="3" l="1"/>
  <c r="F53" i="3"/>
  <c r="B53" i="3"/>
  <c r="H53" i="3"/>
  <c r="D53" i="3"/>
  <c r="I53" i="3"/>
  <c r="K53" i="3" s="1"/>
  <c r="G53" i="3"/>
  <c r="F44" i="3"/>
  <c r="E23" i="7" s="1"/>
  <c r="E51" i="3"/>
  <c r="I51" i="3"/>
  <c r="K51" i="3" s="1"/>
  <c r="F51" i="3"/>
  <c r="C51" i="3"/>
  <c r="G51" i="3"/>
  <c r="D51" i="3"/>
  <c r="H51" i="3"/>
  <c r="C42" i="8"/>
  <c r="A42" i="8"/>
  <c r="C40" i="8"/>
  <c r="A40" i="8"/>
  <c r="E20" i="1"/>
  <c r="E9" i="8" s="1"/>
  <c r="D53" i="8" s="1"/>
  <c r="B20" i="1"/>
  <c r="B21" i="1"/>
  <c r="B22" i="1"/>
  <c r="A20" i="1"/>
  <c r="A21" i="1"/>
  <c r="A19" i="1"/>
  <c r="K71" i="3" l="1"/>
  <c r="H71" i="3"/>
  <c r="H74" i="3"/>
  <c r="B71" i="3"/>
  <c r="D71" i="3"/>
  <c r="D74" i="3"/>
  <c r="F71" i="3"/>
  <c r="F74" i="3"/>
  <c r="I71" i="3"/>
  <c r="G71" i="3"/>
  <c r="G74" i="3"/>
  <c r="C71" i="3"/>
  <c r="C74" i="3"/>
  <c r="E71" i="3"/>
  <c r="E74" i="3"/>
  <c r="B53" i="8"/>
  <c r="B55" i="8"/>
  <c r="B54" i="8"/>
  <c r="I74" i="3" l="1"/>
  <c r="L51" i="3"/>
  <c r="C125" i="2"/>
  <c r="E66" i="1" s="1"/>
  <c r="D75" i="3" l="1"/>
  <c r="E75" i="3"/>
  <c r="F75" i="3"/>
  <c r="B75" i="3"/>
  <c r="C75" i="3"/>
  <c r="G75" i="3"/>
  <c r="H75" i="3"/>
  <c r="L52" i="3"/>
  <c r="C126" i="2"/>
  <c r="B5" i="2"/>
  <c r="B5" i="1"/>
  <c r="I75" i="3" l="1"/>
  <c r="E22" i="15"/>
  <c r="G36" i="16"/>
  <c r="F76" i="3"/>
  <c r="E76" i="3"/>
  <c r="C76" i="3"/>
  <c r="D76" i="3"/>
  <c r="H76" i="3"/>
  <c r="G76" i="3"/>
  <c r="B76" i="3"/>
  <c r="L53" i="3"/>
  <c r="C3" i="2"/>
  <c r="C127" i="2"/>
  <c r="E67" i="1"/>
  <c r="A29" i="2"/>
  <c r="B3" i="1" s="1"/>
  <c r="A34" i="2"/>
  <c r="I76" i="3" l="1"/>
  <c r="E23" i="15"/>
  <c r="G37" i="16"/>
  <c r="B40" i="8"/>
  <c r="B9" i="1"/>
  <c r="B16" i="1" s="1"/>
  <c r="H77" i="3"/>
  <c r="E77" i="3"/>
  <c r="D77" i="3"/>
  <c r="G77" i="3"/>
  <c r="F77" i="3"/>
  <c r="B77" i="3"/>
  <c r="C77" i="3"/>
  <c r="L54" i="3"/>
  <c r="A41" i="2"/>
  <c r="B42" i="8"/>
  <c r="C128" i="2"/>
  <c r="E68" i="1"/>
  <c r="I77" i="3" l="1"/>
  <c r="B44" i="8"/>
  <c r="B17" i="1"/>
  <c r="B30" i="1" s="1"/>
  <c r="E24" i="15"/>
  <c r="G38" i="16"/>
  <c r="B32" i="1"/>
  <c r="C32" i="1" s="1"/>
  <c r="D32" i="1" s="1"/>
  <c r="B36" i="1"/>
  <c r="B29" i="1"/>
  <c r="B33" i="1"/>
  <c r="B37" i="1"/>
  <c r="B41" i="1"/>
  <c r="C41" i="1" s="1"/>
  <c r="D41" i="1" s="1"/>
  <c r="B45" i="1"/>
  <c r="B34" i="1"/>
  <c r="B38" i="1"/>
  <c r="C38" i="1" s="1"/>
  <c r="D38" i="1" s="1"/>
  <c r="B42" i="1"/>
  <c r="C42" i="1" s="1"/>
  <c r="D42" i="1" s="1"/>
  <c r="B28" i="1"/>
  <c r="B31" i="1"/>
  <c r="B35" i="1"/>
  <c r="C35" i="1" s="1"/>
  <c r="D35" i="1" s="1"/>
  <c r="B39" i="1"/>
  <c r="C39" i="1" s="1"/>
  <c r="D39" i="1" s="1"/>
  <c r="B43" i="1"/>
  <c r="B27" i="1"/>
  <c r="B5" i="8"/>
  <c r="B6" i="8" s="1"/>
  <c r="B15" i="8" s="1"/>
  <c r="F78" i="3"/>
  <c r="B78" i="3"/>
  <c r="C78" i="3"/>
  <c r="D78" i="3"/>
  <c r="E78" i="3"/>
  <c r="G78" i="3"/>
  <c r="H78" i="3"/>
  <c r="L55" i="3"/>
  <c r="C129" i="2"/>
  <c r="E69" i="1"/>
  <c r="E19" i="11" l="1"/>
  <c r="I19" i="11" s="1"/>
  <c r="F19" i="11"/>
  <c r="J19" i="11" s="1"/>
  <c r="D19" i="11"/>
  <c r="H19" i="11" s="1"/>
  <c r="K19" i="11" s="1"/>
  <c r="I78" i="3"/>
  <c r="C30" i="1"/>
  <c r="D30" i="1" s="1"/>
  <c r="E30" i="1" s="1"/>
  <c r="B26" i="1"/>
  <c r="C26" i="1" s="1"/>
  <c r="B40" i="1"/>
  <c r="C40" i="1" s="1"/>
  <c r="D40" i="1" s="1"/>
  <c r="B44" i="1"/>
  <c r="C44" i="1" s="1"/>
  <c r="D44" i="1" s="1"/>
  <c r="E25" i="15"/>
  <c r="G39" i="16"/>
  <c r="C27" i="1"/>
  <c r="D27" i="1" s="1"/>
  <c r="E27" i="1" s="1"/>
  <c r="C31" i="1"/>
  <c r="D31" i="1" s="1"/>
  <c r="E31" i="1" s="1"/>
  <c r="C34" i="1"/>
  <c r="D34" i="1" s="1"/>
  <c r="C37" i="1"/>
  <c r="D37" i="1" s="1"/>
  <c r="C43" i="1"/>
  <c r="D43" i="1" s="1"/>
  <c r="C28" i="1"/>
  <c r="D28" i="1" s="1"/>
  <c r="E28" i="1" s="1"/>
  <c r="C33" i="1"/>
  <c r="D33" i="1" s="1"/>
  <c r="C45" i="1"/>
  <c r="D45" i="1" s="1"/>
  <c r="C29" i="1"/>
  <c r="D29" i="1" s="1"/>
  <c r="E29" i="1" s="1"/>
  <c r="C36" i="1"/>
  <c r="D36" i="1" s="1"/>
  <c r="B17" i="8"/>
  <c r="C17" i="8" s="1"/>
  <c r="D17" i="8" s="1"/>
  <c r="B16" i="8"/>
  <c r="C16" i="8" s="1"/>
  <c r="D16" i="8" s="1"/>
  <c r="B24" i="8"/>
  <c r="C24" i="8" s="1"/>
  <c r="B20" i="8"/>
  <c r="C20" i="8" s="1"/>
  <c r="D20" i="8" s="1"/>
  <c r="B34" i="8"/>
  <c r="C34" i="8" s="1"/>
  <c r="B18" i="8"/>
  <c r="C18" i="8" s="1"/>
  <c r="D18" i="8" s="1"/>
  <c r="B26" i="8"/>
  <c r="C26" i="8" s="1"/>
  <c r="B25" i="8"/>
  <c r="C25" i="8" s="1"/>
  <c r="B33" i="8"/>
  <c r="C33" i="8" s="1"/>
  <c r="B22" i="8"/>
  <c r="C22" i="8" s="1"/>
  <c r="B32" i="8"/>
  <c r="C32" i="8" s="1"/>
  <c r="B31" i="8"/>
  <c r="C31" i="8" s="1"/>
  <c r="B23" i="8"/>
  <c r="C23" i="8" s="1"/>
  <c r="B30" i="8"/>
  <c r="C30" i="8" s="1"/>
  <c r="B19" i="8"/>
  <c r="C19" i="8" s="1"/>
  <c r="D19" i="8" s="1"/>
  <c r="B27" i="8"/>
  <c r="C27" i="8" s="1"/>
  <c r="B28" i="8"/>
  <c r="C28" i="8" s="1"/>
  <c r="B21" i="8"/>
  <c r="C21" i="8" s="1"/>
  <c r="B29" i="8"/>
  <c r="C29" i="8" s="1"/>
  <c r="B79" i="3"/>
  <c r="H79" i="3"/>
  <c r="F79" i="3"/>
  <c r="G79" i="3"/>
  <c r="D79" i="3"/>
  <c r="C79" i="3"/>
  <c r="E79" i="3"/>
  <c r="L56" i="3"/>
  <c r="C15" i="8"/>
  <c r="B48" i="8"/>
  <c r="B64" i="8"/>
  <c r="B68" i="8"/>
  <c r="B72" i="8"/>
  <c r="B76" i="8"/>
  <c r="B60" i="8"/>
  <c r="B65" i="8"/>
  <c r="B69" i="8"/>
  <c r="B73" i="8"/>
  <c r="B77" i="8"/>
  <c r="B59" i="8"/>
  <c r="B62" i="8"/>
  <c r="B66" i="8"/>
  <c r="B70" i="8"/>
  <c r="B74" i="8"/>
  <c r="B78" i="8"/>
  <c r="B63" i="8"/>
  <c r="B67" i="8"/>
  <c r="B71" i="8"/>
  <c r="B75" i="8"/>
  <c r="B61" i="8"/>
  <c r="C130" i="2"/>
  <c r="E70" i="1"/>
  <c r="B48" i="1" l="1"/>
  <c r="B46" i="1"/>
  <c r="E6" i="7" s="1"/>
  <c r="I79" i="3"/>
  <c r="E26" i="15"/>
  <c r="G40" i="16"/>
  <c r="C69" i="8"/>
  <c r="D59" i="8"/>
  <c r="E59" i="8" s="1"/>
  <c r="F59" i="8" s="1"/>
  <c r="C46" i="1"/>
  <c r="D26" i="1"/>
  <c r="E26" i="1" s="1"/>
  <c r="B35" i="8"/>
  <c r="D77" i="8"/>
  <c r="E77" i="8" s="1"/>
  <c r="D63" i="8"/>
  <c r="E63" i="8" s="1"/>
  <c r="F63" i="8" s="1"/>
  <c r="C75" i="8"/>
  <c r="D76" i="8"/>
  <c r="E76" i="8" s="1"/>
  <c r="C78" i="8"/>
  <c r="D70" i="8"/>
  <c r="E70" i="8" s="1"/>
  <c r="C62" i="8"/>
  <c r="C72" i="8"/>
  <c r="C68" i="8"/>
  <c r="C74" i="8"/>
  <c r="C59" i="8"/>
  <c r="C65" i="8"/>
  <c r="D15" i="8"/>
  <c r="C35" i="8"/>
  <c r="D66" i="8"/>
  <c r="E66" i="8" s="1"/>
  <c r="D68" i="8"/>
  <c r="E68" i="8" s="1"/>
  <c r="D71" i="8"/>
  <c r="E71" i="8" s="1"/>
  <c r="D62" i="8"/>
  <c r="E62" i="8" s="1"/>
  <c r="F62" i="8" s="1"/>
  <c r="D69" i="8"/>
  <c r="E69" i="8" s="1"/>
  <c r="F80" i="3"/>
  <c r="B80" i="3"/>
  <c r="D80" i="3"/>
  <c r="H80" i="3"/>
  <c r="G80" i="3"/>
  <c r="E80" i="3"/>
  <c r="C80" i="3"/>
  <c r="L57" i="3"/>
  <c r="C60" i="8"/>
  <c r="C64" i="8"/>
  <c r="C67" i="8"/>
  <c r="C70" i="8"/>
  <c r="C77" i="8"/>
  <c r="D61" i="8"/>
  <c r="E61" i="8" s="1"/>
  <c r="F61" i="8" s="1"/>
  <c r="D78" i="8"/>
  <c r="E78" i="8" s="1"/>
  <c r="D72" i="8"/>
  <c r="E72" i="8" s="1"/>
  <c r="D75" i="8"/>
  <c r="E75" i="8" s="1"/>
  <c r="D74" i="8"/>
  <c r="E74" i="8" s="1"/>
  <c r="D73" i="8"/>
  <c r="E73" i="8" s="1"/>
  <c r="C71" i="8"/>
  <c r="D60" i="8"/>
  <c r="E60" i="8" s="1"/>
  <c r="F60" i="8" s="1"/>
  <c r="D64" i="8"/>
  <c r="E64" i="8" s="1"/>
  <c r="F64" i="8" s="1"/>
  <c r="D67" i="8"/>
  <c r="E67" i="8" s="1"/>
  <c r="D65" i="8"/>
  <c r="E65" i="8" s="1"/>
  <c r="F65" i="8" s="1"/>
  <c r="C76" i="8"/>
  <c r="C61" i="8"/>
  <c r="C63" i="8"/>
  <c r="C66" i="8"/>
  <c r="C73" i="8"/>
  <c r="B79" i="8"/>
  <c r="E36" i="7" s="1"/>
  <c r="C131" i="2"/>
  <c r="E71" i="1"/>
  <c r="D21" i="8"/>
  <c r="E32" i="1"/>
  <c r="I80" i="3" l="1"/>
  <c r="E27" i="15"/>
  <c r="G41" i="16"/>
  <c r="D46" i="1"/>
  <c r="C79" i="8"/>
  <c r="E37" i="7" s="1"/>
  <c r="F81" i="3"/>
  <c r="B81" i="3"/>
  <c r="C81" i="3"/>
  <c r="D81" i="3"/>
  <c r="E81" i="3"/>
  <c r="G81" i="3"/>
  <c r="H81" i="3"/>
  <c r="L58" i="3"/>
  <c r="D79" i="8"/>
  <c r="C132" i="2"/>
  <c r="E72" i="1"/>
  <c r="D22" i="8"/>
  <c r="E33" i="1"/>
  <c r="F66" i="8"/>
  <c r="E79" i="8"/>
  <c r="I81" i="3" l="1"/>
  <c r="E28" i="15"/>
  <c r="G42" i="16"/>
  <c r="H82" i="3"/>
  <c r="C82" i="3"/>
  <c r="F82" i="3"/>
  <c r="B82" i="3"/>
  <c r="E82" i="3"/>
  <c r="G82" i="3"/>
  <c r="D82" i="3"/>
  <c r="L59" i="3"/>
  <c r="C133" i="2"/>
  <c r="E73" i="1"/>
  <c r="D23" i="8"/>
  <c r="E34" i="1"/>
  <c r="F67" i="8"/>
  <c r="I82" i="3" l="1"/>
  <c r="E29" i="15"/>
  <c r="G43" i="16"/>
  <c r="F83" i="3"/>
  <c r="B83" i="3"/>
  <c r="E83" i="3"/>
  <c r="G83" i="3"/>
  <c r="C83" i="3"/>
  <c r="D83" i="3"/>
  <c r="H83" i="3"/>
  <c r="L60" i="3"/>
  <c r="C134" i="2"/>
  <c r="E74" i="1"/>
  <c r="D24" i="8"/>
  <c r="E35" i="1"/>
  <c r="F68" i="8"/>
  <c r="I83" i="3" l="1"/>
  <c r="E30" i="15"/>
  <c r="G44" i="16"/>
  <c r="F84" i="3"/>
  <c r="B84" i="3"/>
  <c r="G84" i="3"/>
  <c r="E84" i="3"/>
  <c r="C84" i="3"/>
  <c r="H84" i="3"/>
  <c r="D84" i="3"/>
  <c r="L61" i="3"/>
  <c r="C135" i="2"/>
  <c r="E75" i="1"/>
  <c r="D25" i="8"/>
  <c r="E36" i="1"/>
  <c r="F69" i="8"/>
  <c r="I84" i="3" l="1"/>
  <c r="E31" i="15"/>
  <c r="G45" i="16"/>
  <c r="D94" i="16"/>
  <c r="H85" i="3"/>
  <c r="C85" i="3"/>
  <c r="F85" i="3"/>
  <c r="E85" i="3"/>
  <c r="G85" i="3"/>
  <c r="B85" i="3"/>
  <c r="D85" i="3"/>
  <c r="L62" i="3"/>
  <c r="C136" i="2"/>
  <c r="E76" i="1"/>
  <c r="D26" i="8"/>
  <c r="E37" i="1"/>
  <c r="F70" i="8"/>
  <c r="I85" i="3" l="1"/>
  <c r="E32" i="15"/>
  <c r="G46" i="16"/>
  <c r="D86" i="3"/>
  <c r="B86" i="3"/>
  <c r="H86" i="3"/>
  <c r="G86" i="3"/>
  <c r="F86" i="3"/>
  <c r="E86" i="3"/>
  <c r="C86" i="3"/>
  <c r="L63" i="3"/>
  <c r="C137" i="2"/>
  <c r="E77" i="1"/>
  <c r="D27" i="8"/>
  <c r="E38" i="1"/>
  <c r="F71" i="8"/>
  <c r="I86" i="3" l="1"/>
  <c r="E33" i="15"/>
  <c r="G47" i="16"/>
  <c r="F87" i="3"/>
  <c r="C87" i="3"/>
  <c r="B87" i="3"/>
  <c r="H87" i="3"/>
  <c r="E87" i="3"/>
  <c r="G87" i="3"/>
  <c r="D87" i="3"/>
  <c r="L64" i="3"/>
  <c r="C138" i="2"/>
  <c r="E78" i="1"/>
  <c r="D28" i="8"/>
  <c r="E39" i="1"/>
  <c r="F72" i="8"/>
  <c r="I87" i="3" l="1"/>
  <c r="E34" i="15"/>
  <c r="G48" i="16"/>
  <c r="B88" i="3"/>
  <c r="F88" i="3"/>
  <c r="C88" i="3"/>
  <c r="H88" i="3"/>
  <c r="D88" i="3"/>
  <c r="E88" i="3"/>
  <c r="G88" i="3"/>
  <c r="L65" i="3"/>
  <c r="C139" i="2"/>
  <c r="E79" i="1"/>
  <c r="D29" i="8"/>
  <c r="E40" i="1"/>
  <c r="F73" i="8"/>
  <c r="I88" i="3" l="1"/>
  <c r="E35" i="15"/>
  <c r="G49" i="16"/>
  <c r="D89" i="3"/>
  <c r="B89" i="3"/>
  <c r="C89" i="3"/>
  <c r="G89" i="3"/>
  <c r="H89" i="3"/>
  <c r="F89" i="3"/>
  <c r="E89" i="3"/>
  <c r="L66" i="3"/>
  <c r="C140" i="2"/>
  <c r="E80" i="1"/>
  <c r="D30" i="8"/>
  <c r="E41" i="1"/>
  <c r="F74" i="8"/>
  <c r="I89" i="3" l="1"/>
  <c r="E36" i="15"/>
  <c r="G50" i="16"/>
  <c r="D90" i="3"/>
  <c r="F90" i="3"/>
  <c r="B90" i="3"/>
  <c r="H90" i="3"/>
  <c r="G90" i="3"/>
  <c r="E90" i="3"/>
  <c r="C90" i="3"/>
  <c r="L67" i="3"/>
  <c r="C141" i="2"/>
  <c r="E81" i="1"/>
  <c r="D31" i="8"/>
  <c r="E42" i="1"/>
  <c r="F75" i="8"/>
  <c r="I90" i="3" l="1"/>
  <c r="E37" i="15"/>
  <c r="G51" i="16"/>
  <c r="B91" i="3"/>
  <c r="F91" i="3"/>
  <c r="E91" i="3"/>
  <c r="G91" i="3"/>
  <c r="C91" i="3"/>
  <c r="D91" i="3"/>
  <c r="H91" i="3"/>
  <c r="L68" i="3"/>
  <c r="C142" i="2"/>
  <c r="E82" i="1"/>
  <c r="D32" i="8"/>
  <c r="E43" i="1"/>
  <c r="F76" i="8"/>
  <c r="I91" i="3" l="1"/>
  <c r="E38" i="15"/>
  <c r="G52" i="16"/>
  <c r="D92" i="3"/>
  <c r="E92" i="3"/>
  <c r="G92" i="3"/>
  <c r="C92" i="3"/>
  <c r="H92" i="3"/>
  <c r="F92" i="3"/>
  <c r="B92" i="3"/>
  <c r="L69" i="3"/>
  <c r="C143" i="2"/>
  <c r="E83" i="1"/>
  <c r="D33" i="8"/>
  <c r="E44" i="1"/>
  <c r="F77" i="8"/>
  <c r="I92" i="3" l="1"/>
  <c r="E39" i="15"/>
  <c r="E40" i="15" s="1"/>
  <c r="G53" i="16"/>
  <c r="G54" i="16" s="1"/>
  <c r="E19" i="7" s="1"/>
  <c r="B93" i="3"/>
  <c r="E93" i="3"/>
  <c r="E94" i="3" s="1"/>
  <c r="E27" i="7" s="1"/>
  <c r="C93" i="3"/>
  <c r="C94" i="3" s="1"/>
  <c r="E25" i="7" s="1"/>
  <c r="H93" i="3"/>
  <c r="H94" i="3" s="1"/>
  <c r="E30" i="7" s="1"/>
  <c r="G93" i="3"/>
  <c r="G94" i="3" s="1"/>
  <c r="E29" i="7" s="1"/>
  <c r="D93" i="3"/>
  <c r="D94" i="3" s="1"/>
  <c r="E26" i="7" s="1"/>
  <c r="F93" i="3"/>
  <c r="F94" i="3" s="1"/>
  <c r="E28" i="7" s="1"/>
  <c r="L70" i="3"/>
  <c r="L71" i="3" s="1"/>
  <c r="E84" i="1"/>
  <c r="E85" i="1" s="1"/>
  <c r="E9" i="7" s="1"/>
  <c r="D34" i="8"/>
  <c r="D35" i="8" s="1"/>
  <c r="E35" i="7" s="1"/>
  <c r="E45" i="1"/>
  <c r="E46" i="1" s="1"/>
  <c r="E7" i="7" s="1"/>
  <c r="F78" i="8"/>
  <c r="F79" i="8" s="1"/>
  <c r="J13" i="9" l="1"/>
  <c r="E15" i="7"/>
  <c r="B94" i="3"/>
  <c r="E24" i="7" s="1"/>
  <c r="E31" i="7" s="1"/>
  <c r="I93" i="3"/>
  <c r="I94" i="3" s="1"/>
  <c r="J11" i="9"/>
  <c r="E94" i="16"/>
  <c r="C94" i="16"/>
  <c r="E38" i="7"/>
  <c r="E33" i="7"/>
  <c r="J15" i="9" l="1"/>
  <c r="J20" i="9" s="1"/>
  <c r="E11" i="7"/>
  <c r="E12" i="7" s="1"/>
  <c r="E39" i="7"/>
  <c r="E41" i="7" l="1"/>
  <c r="G15" i="7" l="1"/>
  <c r="G19" i="7"/>
  <c r="G31" i="7"/>
  <c r="G12" i="7"/>
  <c r="G39" i="7"/>
  <c r="E43" i="7"/>
  <c r="E47" i="7" s="1"/>
</calcChain>
</file>

<file path=xl/sharedStrings.xml><?xml version="1.0" encoding="utf-8"?>
<sst xmlns="http://schemas.openxmlformats.org/spreadsheetml/2006/main" count="1105" uniqueCount="719">
  <si>
    <t>NET Tram</t>
  </si>
  <si>
    <t>NCT</t>
  </si>
  <si>
    <t>All other bus operators</t>
  </si>
  <si>
    <t>Source: Robin Hood card season ticket and day ticket trips (split of market)]</t>
  </si>
  <si>
    <t>Impact of RH card implementation in Gtr Nottingham</t>
  </si>
  <si>
    <t>RH Paper Day ticket sales</t>
  </si>
  <si>
    <t>Boarding time saving</t>
  </si>
  <si>
    <t>DfT's Smart and Integrated Ticketing Strategy</t>
  </si>
  <si>
    <t>Reduction in cash transactions</t>
  </si>
  <si>
    <t>TfL evidence from Oyster in DfT's Smart and Integrated Ticketing Strategy</t>
  </si>
  <si>
    <t>% of bus journeys involved cash transactions prior to introduction of Oyster</t>
  </si>
  <si>
    <t>% following the introduction of Oyster</t>
  </si>
  <si>
    <t>% reduction in trips involving cash transactions</t>
  </si>
  <si>
    <t>seconds maximum</t>
  </si>
  <si>
    <t xml:space="preserve">seconds minimum </t>
  </si>
  <si>
    <t>average secs boarding time saving of contactless payment relative to cash fares</t>
  </si>
  <si>
    <t>http://webarchive.nationalarchives.gov.uk/+/http:/www.dft.gov.uk/pgr/regional/smart-integrated-ticketing/pdf/smart-ticketing.pdf</t>
  </si>
  <si>
    <t>Average bus occupancy figures</t>
  </si>
  <si>
    <t>passengers per bus in English met areas</t>
  </si>
  <si>
    <t>DfT Bus0304 table</t>
  </si>
  <si>
    <t>https://www.gov.uk/government/uploads/system/uploads/attachment_data/file/560588/bus0304.ods</t>
  </si>
  <si>
    <t>Average journey time saving per cash fare</t>
  </si>
  <si>
    <t>seconds</t>
  </si>
  <si>
    <t xml:space="preserve">DfT Smart and Integrated Ticketing report (http://webarchive.nationalarchives.gov.uk/+/http:/www.dft.gov.uk/pgr/regional/smart-integrated-ticketing/pdf/smart-ticketing.pdf) </t>
  </si>
  <si>
    <t>Average number of people on a bus</t>
  </si>
  <si>
    <t>pax in English Met Areas</t>
  </si>
  <si>
    <t>DfT Bus Statistics Table 0304 (https://www.gov.uk/government/uploads/system/uploads/attachment_data/file/560588/bus0304.ods)</t>
  </si>
  <si>
    <t>Value of time per bus passenger</t>
  </si>
  <si>
    <t>Resource cost values £ per hour (2010 prices)</t>
  </si>
  <si>
    <t>NCC Robin Hood Card data</t>
  </si>
  <si>
    <t>Calculated by multiplying cells B3 and B5 together</t>
  </si>
  <si>
    <t>Market share of Nottingham trips (Robin Hood card) within Gtr Nottm Boundary/RH card zone</t>
  </si>
  <si>
    <t>DfT Bus passengers (Nottingham)</t>
  </si>
  <si>
    <t>DfT Bus passengers (Nottinghamshire)</t>
  </si>
  <si>
    <t>Estimate of total for RH zone</t>
  </si>
  <si>
    <t>50% of DfT Notts bus stats + 100% of DfT Nottingham bus stats</t>
  </si>
  <si>
    <t>Total annual bus trips in Nottingham RH zone</t>
  </si>
  <si>
    <t>Bus trips in Nottingham</t>
  </si>
  <si>
    <t>Bus trips involving cash transactions</t>
  </si>
  <si>
    <t>in 2016/17</t>
  </si>
  <si>
    <t>per annum</t>
  </si>
  <si>
    <t>Tickets sold in 11 months</t>
  </si>
  <si>
    <t>Total non RH cash transactions on all buses</t>
  </si>
  <si>
    <t>Grand total cash transactions on buses in RH zone</t>
  </si>
  <si>
    <t>per annum in 2019</t>
  </si>
  <si>
    <t>per annum in 2020</t>
  </si>
  <si>
    <t>per annum in 2021</t>
  </si>
  <si>
    <t>per annum in 2022</t>
  </si>
  <si>
    <t>per annum in 2023</t>
  </si>
  <si>
    <t>per annum in 2024</t>
  </si>
  <si>
    <t>per annum in 2025</t>
  </si>
  <si>
    <t>per annum in 2026</t>
  </si>
  <si>
    <t>per annum in 2027</t>
  </si>
  <si>
    <t>per annum in 2028</t>
  </si>
  <si>
    <t>per annum in 2029</t>
  </si>
  <si>
    <t>Discount rate applied</t>
  </si>
  <si>
    <t>HM Treasury Green Book guidance for 0-30 years</t>
  </si>
  <si>
    <t>First scheme year value</t>
  </si>
  <si>
    <t>Applied for 20 years</t>
  </si>
  <si>
    <t>per annum in 2030</t>
  </si>
  <si>
    <t>per annum in 2031</t>
  </si>
  <si>
    <t>per annum in 2032</t>
  </si>
  <si>
    <t>per annum in 2033</t>
  </si>
  <si>
    <t>per annum in 2034</t>
  </si>
  <si>
    <t>per annum in 2035</t>
  </si>
  <si>
    <t>per annum in 2036</t>
  </si>
  <si>
    <t>per annum in 2037</t>
  </si>
  <si>
    <t>Total bus passenger value of time saving (2010 prices)</t>
  </si>
  <si>
    <t>per annum in 2038</t>
  </si>
  <si>
    <t>of 2019 values</t>
  </si>
  <si>
    <t>Year 1 (2019)</t>
  </si>
  <si>
    <t>Year 2 (2020)</t>
  </si>
  <si>
    <t>values</t>
  </si>
  <si>
    <t>GDP Deflator</t>
  </si>
  <si>
    <t>WebTAG Data Book, Annual Parameters</t>
  </si>
  <si>
    <t>Total value of bus passenger time benefits</t>
  </si>
  <si>
    <t>Raw</t>
  </si>
  <si>
    <t>GDP-deflated</t>
  </si>
  <si>
    <t>hours per annum</t>
  </si>
  <si>
    <t>Operating cost savings</t>
  </si>
  <si>
    <t>Nottingham bus operator cash handling costs</t>
  </si>
  <si>
    <t>Factored to all bus operators based on NCT market share for Robin Hood tickets</t>
  </si>
  <si>
    <t>Discounted at 3.5% per annum</t>
  </si>
  <si>
    <t>Total cash handling cost (all operators)</t>
  </si>
  <si>
    <t>per annum (2017 prices)</t>
  </si>
  <si>
    <t>Passenger time saving applied to WebTAG A1.3.2 - Forecast Values of Time per Person</t>
  </si>
  <si>
    <t>I think its legitimate to state that our own bus company and park and ride  contracts will increase frequencies if net costs come down due reduced board times, cash handling costs and higher yields from more complex pricing enabled by account based ticketing, rather than just taking increased profit. This will the directly help congestion via modal shift</t>
  </si>
  <si>
    <t>Andy Gibbons</t>
  </si>
  <si>
    <t xml:space="preserve">NCT total cost of replacing vaults, counting and handling cash </t>
  </si>
  <si>
    <t>Operator cash handling saving over appraisal period</t>
  </si>
  <si>
    <t>Total cash-handling saving (2010 prices)</t>
  </si>
  <si>
    <t>Year 3 (2021) onwards</t>
  </si>
  <si>
    <t>Calculated by multiplying Cell B43 and Cell B45 then factoring to hours</t>
  </si>
  <si>
    <t>Average bus operating speed in Nottingham</t>
  </si>
  <si>
    <t>km/hr</t>
  </si>
  <si>
    <t>Calculated for the Nottingham Better Bus Areas report</t>
  </si>
  <si>
    <t xml:space="preserve">Average operating speed of buses in Nottingham </t>
  </si>
  <si>
    <t>Km per annum</t>
  </si>
  <si>
    <t>Calculated by multiplying Cell B47 by Cell B49</t>
  </si>
  <si>
    <t>Average operating cost value per bus vehicle kilometre travelled</t>
  </si>
  <si>
    <t>Factored to 2010 prices using GDP inflator</t>
  </si>
  <si>
    <t>per km at 2010 prices</t>
  </si>
  <si>
    <t>per bus km</t>
  </si>
  <si>
    <t>Bus operating hour savings over appraisal period</t>
  </si>
  <si>
    <t>Total bus operating hour saving (2010 prices)</t>
  </si>
  <si>
    <t>c</t>
  </si>
  <si>
    <t>Table A 1.3.8:</t>
  </si>
  <si>
    <t>Fuel consumption parameter values</t>
  </si>
  <si>
    <t>Parameters</t>
  </si>
  <si>
    <t>Vehicle Category</t>
  </si>
  <si>
    <t>a</t>
  </si>
  <si>
    <t>b</t>
  </si>
  <si>
    <t>d</t>
  </si>
  <si>
    <t>Petrol Car</t>
  </si>
  <si>
    <t>Diesel Car</t>
  </si>
  <si>
    <t>Petrol LGV</t>
  </si>
  <si>
    <t>Diesel LGV</t>
  </si>
  <si>
    <t>OGV1</t>
  </si>
  <si>
    <t>OGV2</t>
  </si>
  <si>
    <t>PSV</t>
  </si>
  <si>
    <t>WebTAG Table A 1.3.8</t>
  </si>
  <si>
    <t>Fuel / Energy consumption parameters</t>
  </si>
  <si>
    <t>Total</t>
  </si>
  <si>
    <t>Petrol</t>
  </si>
  <si>
    <t>Diesel</t>
  </si>
  <si>
    <t>Gas Oil</t>
  </si>
  <si>
    <t>Electricity</t>
  </si>
  <si>
    <t>Rail Diesel</t>
  </si>
  <si>
    <t>Roads</t>
  </si>
  <si>
    <t>Rail</t>
  </si>
  <si>
    <t>Year</t>
  </si>
  <si>
    <t>Kg CO2e/l</t>
  </si>
  <si>
    <t>Kg CO2e/kWh</t>
  </si>
  <si>
    <t>WebTAG Table A 3.3:  Carbon dioxide emissions per litre of fuel burnt / kWh used</t>
  </si>
  <si>
    <t>NCT market share of all RH bus trips</t>
  </si>
  <si>
    <t>Low</t>
  </si>
  <si>
    <t>Central</t>
  </si>
  <si>
    <t>High </t>
  </si>
  <si>
    <t>WebTAG Table A 3.4: Non Traded Values, £ per Tonne of CO2e (2010 prices)</t>
  </si>
  <si>
    <t>Passenger time saved from RH PAYG top up transactions</t>
  </si>
  <si>
    <t>Robin Hood Card Ticket Vending Machine Data</t>
  </si>
  <si>
    <t>RH Card data maintained by ITP on behalf of NCC and Operators</t>
  </si>
  <si>
    <t>Average RH PAYG card top-ups at ticket vending machines in latest 12 month period</t>
  </si>
  <si>
    <t>Top-ups to existing RH PAYG cards at ticket vending machines in 12 months from 12/06/16 to 10/06/17</t>
  </si>
  <si>
    <t>Average time spent topping up an RH card at a TVM</t>
  </si>
  <si>
    <t>hours spent topping up RH cards at TVMs per 12 months</t>
  </si>
  <si>
    <t>Estimated average transaction time, based on practical assessment</t>
  </si>
  <si>
    <t>Total value of cash transaction benefits to bus operators</t>
  </si>
  <si>
    <t>per annum (factored to 2010 prices)</t>
  </si>
  <si>
    <t>Assumes cashless bus network enables cash purchase off-bus, maximising dwell-time savings to operators</t>
  </si>
  <si>
    <t>KM</t>
  </si>
  <si>
    <t>Source</t>
  </si>
  <si>
    <t>Car driver</t>
  </si>
  <si>
    <t>Bike</t>
  </si>
  <si>
    <t>Walk</t>
  </si>
  <si>
    <t>Bus</t>
  </si>
  <si>
    <t>Train</t>
  </si>
  <si>
    <t>Miles</t>
  </si>
  <si>
    <t>Mile to Km conversion factor</t>
  </si>
  <si>
    <t>Assumed rate of patronage impact</t>
  </si>
  <si>
    <t>Appraisal Year</t>
  </si>
  <si>
    <t>Additional pax km</t>
  </si>
  <si>
    <t>Assumed mode-shift</t>
  </si>
  <si>
    <t>shift from car driver/passenger trips</t>
  </si>
  <si>
    <t>Additional trips</t>
  </si>
  <si>
    <t>Fewer car trips</t>
  </si>
  <si>
    <t>Fewer car km</t>
  </si>
  <si>
    <t>Reduced car KM</t>
  </si>
  <si>
    <t>WebTAG Table A 5.4.2: Marginal External Costs by road type and congestion band</t>
  </si>
  <si>
    <t>Congestion average (inner and outer conurbation A roads)</t>
  </si>
  <si>
    <t>Infrastructure</t>
  </si>
  <si>
    <t>Accident</t>
  </si>
  <si>
    <t>Local Air Quality</t>
  </si>
  <si>
    <t>Noise</t>
  </si>
  <si>
    <t>Greenhouse Gases</t>
  </si>
  <si>
    <t>Indirect Taxation</t>
  </si>
  <si>
    <t>Traffic decongestion benefits associated with mode shift</t>
  </si>
  <si>
    <t>Pence per Km (2010 prices)</t>
  </si>
  <si>
    <t>Congestion</t>
  </si>
  <si>
    <t>Decongestion benefits (appraisal period)</t>
  </si>
  <si>
    <t>Assume</t>
  </si>
  <si>
    <t>Total NPV of bus operating hours savings to operators</t>
  </si>
  <si>
    <t>Total NPV of cash handling savings</t>
  </si>
  <si>
    <t>NPV of decongestion benefits achieved through mode-shift</t>
  </si>
  <si>
    <t>Total NPV of bus passenger value of time savings from not topping up RH PAYG cards</t>
  </si>
  <si>
    <t>Total NPV of bus passenger value of time savings from cashless boarding / off-bus ticket purchase</t>
  </si>
  <si>
    <t xml:space="preserve">Total over appraisal period </t>
  </si>
  <si>
    <t>Benefits Summary</t>
  </si>
  <si>
    <t>Scheme impact estimate</t>
  </si>
  <si>
    <t>Intervention</t>
  </si>
  <si>
    <t>UNIT</t>
  </si>
  <si>
    <t>£</t>
  </si>
  <si>
    <t xml:space="preserve">Net change in Bus and Tram trips </t>
  </si>
  <si>
    <t>TRIPS</t>
  </si>
  <si>
    <t>Net change in Car trips</t>
  </si>
  <si>
    <t>Reduced Car km travelled</t>
  </si>
  <si>
    <t>Congestion (£)</t>
  </si>
  <si>
    <t>Infrastructure (£)</t>
  </si>
  <si>
    <t xml:space="preserve">Accident (£) </t>
  </si>
  <si>
    <t>Local Air Quality (£)</t>
  </si>
  <si>
    <t xml:space="preserve">Noise (£) </t>
  </si>
  <si>
    <t>Greenhouse Gases (£)</t>
  </si>
  <si>
    <t>Indirect Taxation (£)</t>
  </si>
  <si>
    <t>TONNES</t>
  </si>
  <si>
    <t>Costs</t>
  </si>
  <si>
    <t>Hours saved</t>
  </si>
  <si>
    <t>GDP deflated</t>
  </si>
  <si>
    <t>NPV</t>
  </si>
  <si>
    <t>Average hours saved per annum</t>
  </si>
  <si>
    <t>Scheme opening year</t>
  </si>
  <si>
    <t>Final appraisal year</t>
  </si>
  <si>
    <t>HOURS</t>
  </si>
  <si>
    <t>Total bus passenger hours saved through boarding efficiencies</t>
  </si>
  <si>
    <t>Total passenger hours saved through reduction in TVM top-ups</t>
  </si>
  <si>
    <t>NPV of total bus passenger value of time-saving</t>
  </si>
  <si>
    <t>GDP deflated and social benefit discounted totals</t>
  </si>
  <si>
    <t>Checksum for NPV</t>
  </si>
  <si>
    <t>Cost savings for bus operators</t>
  </si>
  <si>
    <t>Bus Km saved</t>
  </si>
  <si>
    <t>Bus operating hours saved</t>
  </si>
  <si>
    <t>Total bus operating hours saved</t>
  </si>
  <si>
    <t>Total bus operating km saved</t>
  </si>
  <si>
    <t>Saving to bus operators through reduced operating km (£ NPV)</t>
  </si>
  <si>
    <t>Estimated based on Robin Hood card transaction data</t>
  </si>
  <si>
    <t>Estimated additional trips in year 1, resulting from RH card implementation</t>
  </si>
  <si>
    <t>Average no of RH cards in circulation between 12/06/16 and 11/06/2017</t>
  </si>
  <si>
    <t>Estimated number of cash fare transactions in Gtr Nottingham</t>
  </si>
  <si>
    <t>Average vehicle occupancy</t>
  </si>
  <si>
    <t>Km - assumed distance of abstracted car driver/pax trips</t>
  </si>
  <si>
    <t>People per vehicle</t>
  </si>
  <si>
    <t>DfT Concessionary Fares Reimbursement Calculator - derived from NTS</t>
  </si>
  <si>
    <t>Sheet A1.3.3</t>
  </si>
  <si>
    <t>All week average car occupancy per trip</t>
  </si>
  <si>
    <t>** WebTAG data book values replaced with non-traded valuation of CO2e</t>
  </si>
  <si>
    <t>** calculated by averaging petrol and diesel.  Assumes a 50:50 split in the fleet</t>
  </si>
  <si>
    <t>informed by http://naei.defra.gov.uk/data/ef-transport which suggests 51:49</t>
  </si>
  <si>
    <t>split in favour of diesel vehicles</t>
  </si>
  <si>
    <t>Average Car**</t>
  </si>
  <si>
    <t>Average</t>
  </si>
  <si>
    <t>Carbon and Air Quality</t>
  </si>
  <si>
    <t>Estimated based on local bus operator data from Robin Hood partnership</t>
  </si>
  <si>
    <t>Average bus trip estimate (Avg of RH + DfT data)</t>
  </si>
  <si>
    <t>Change in CO2e - arising from reduction in car KM travelled</t>
  </si>
  <si>
    <t>Third Party contribution</t>
  </si>
  <si>
    <t>Scheme Costs</t>
  </si>
  <si>
    <t>DfT Funding sought</t>
  </si>
  <si>
    <t>Reduction in cash handling costs for operators (£ NPV)</t>
  </si>
  <si>
    <t>Calculated by adding Cell B15 and B16</t>
  </si>
  <si>
    <t>Total vehicle travelled distance</t>
  </si>
  <si>
    <t>(first year of full benefits)</t>
  </si>
  <si>
    <t>Unit</t>
  </si>
  <si>
    <t>vehicles</t>
  </si>
  <si>
    <t>vehicle-hours</t>
  </si>
  <si>
    <t>vehicle-km</t>
  </si>
  <si>
    <t>-</t>
  </si>
  <si>
    <t>passenger trips</t>
  </si>
  <si>
    <t>passenger-hrs</t>
  </si>
  <si>
    <t>Number of highway trips affected</t>
  </si>
  <si>
    <t>Total vehicle travelled time</t>
  </si>
  <si>
    <t>Highway peak period conversion factor</t>
  </si>
  <si>
    <t>Number of PT passenger trips on affected routes</t>
  </si>
  <si>
    <t>Total PT travelled time</t>
  </si>
  <si>
    <t>PT peak period conversion factor</t>
  </si>
  <si>
    <t>Year of assessment</t>
  </si>
  <si>
    <t>Scenario</t>
  </si>
  <si>
    <t>Input Data / Key Performance Indicators</t>
  </si>
  <si>
    <t>AM Peak Hr</t>
  </si>
  <si>
    <t>PM Peak Hr</t>
  </si>
  <si>
    <t>Inter-Peak Hr</t>
  </si>
  <si>
    <t>Weekday</t>
  </si>
  <si>
    <t>Do-Minimum</t>
  </si>
  <si>
    <t>Do-Something</t>
  </si>
  <si>
    <t>Average car speed in Nottingham</t>
  </si>
  <si>
    <t>Nottinghamshire Local Transport Plan Evidence Base Report  2011</t>
  </si>
  <si>
    <t>Total Net Present Costs (£) &amp; BCR</t>
  </si>
  <si>
    <t>Local average for Greater Nottingham, derived from Better Bus Areas project data</t>
  </si>
  <si>
    <t>Re-valued to 2010 prices</t>
  </si>
  <si>
    <t>Resulting from progressive switch to payment via smartphones and other devices</t>
  </si>
  <si>
    <t>Estimated rate of conversion to off-bus ticket purchase/ RH PAYG TVM purchasing / Smartphone purchase</t>
  </si>
  <si>
    <t>Estimated bus operating hours saved per annum through Smartphone tap-on</t>
  </si>
  <si>
    <t>Bus Km saved per annum through Smartphone tap-on</t>
  </si>
  <si>
    <t>WebTAG Data Book Nov 2018</t>
  </si>
  <si>
    <t>2017/18 estimated based on Greater Nottingham total bus ticket sales</t>
  </si>
  <si>
    <t>DfT Bus Stats Spreadsheet 0109, 2016/17</t>
  </si>
  <si>
    <t>Total annual bus + tram trips in Nottingham RH zone</t>
  </si>
  <si>
    <t>2017/18 estimated based on Greater Nottingham total bus+tram ticket sales</t>
  </si>
  <si>
    <t>2016/17 data from DfT BUS 0304</t>
  </si>
  <si>
    <t>English non-metropolitan authorities in DFT Bus Statistics Table BUS0408a</t>
  </si>
  <si>
    <t>per km at 2016/17 prices</t>
  </si>
  <si>
    <t>Average Trip Length (2017 NTS, converted from miles)</t>
  </si>
  <si>
    <t>NTS0303 - Average trip length by main mode 2002 to 2017</t>
  </si>
  <si>
    <t>WebTAG Data Book, Sheet A1.3.2</t>
  </si>
  <si>
    <t>of 2020 values</t>
  </si>
  <si>
    <t>Km - average distance of a bus /tram trip in Nottingham</t>
  </si>
  <si>
    <t xml:space="preserve">Additional bus/tram passenger trips recorded following introduction of RH PAYG.  </t>
  </si>
  <si>
    <t>generated bus/tram trips</t>
  </si>
  <si>
    <t>Additional bus/tram pax</t>
  </si>
  <si>
    <t>of this increase will be achieved through introduction of RH Mobile App Payment in Greater Nottingham + extension of top-up facilities to tram stops.</t>
  </si>
  <si>
    <t>NB -  only 50% of previous increase is assumed as existing passengers switching to RH Mobile App Payment are expected to receive marginal benefits relative to non-Robin Hood pax</t>
  </si>
  <si>
    <t>Estimated increase in bus/tram passenger trips and travelled pax-km over appraisal period attributable to Robin Hood Mobile and Tram network ticket machine upgrades</t>
  </si>
  <si>
    <t>Reduced car vehicle trips</t>
  </si>
  <si>
    <t>Assumes cashless bus/tram network enables cash fare purchase off-bus, maximising dwell-time savings to operators and passengers</t>
  </si>
  <si>
    <t>Estimated reduction in on-vehicle (bus) and at stop (bus and tram) cash ticket purchase</t>
  </si>
  <si>
    <t>Assumes passengers may be slower to switch from Smartcard beyond 2031</t>
  </si>
  <si>
    <t>a) Cash handling (all operators)</t>
  </si>
  <si>
    <t>b) Bus operating hour savings to operators (bus operators only as tram already cashless on-board)</t>
  </si>
  <si>
    <t>English non-metropolitan authorities in DFT Bus Statistics Table BUS0408a, 2016/17 values and prices factored to 2010 prices using GDP deflator</t>
  </si>
  <si>
    <t>Estimated reduction in on-vehicle (bus) cash ticket purchase</t>
  </si>
  <si>
    <t>Average number of people on a tram</t>
  </si>
  <si>
    <t>pax in Nottingham</t>
  </si>
  <si>
    <t>DfT Light Rail and Team Statistics 2018 (https://assets.publishing.service.gov.uk/government/uploads/system/uploads/attachment_data/file/720315/light-rail-and-tram-statistics-england-2018.pdf)</t>
  </si>
  <si>
    <t>Total annual tram trips in Nottingham RH zone</t>
  </si>
  <si>
    <t>2017/18 estimated by deducting bus trips from tram trips</t>
  </si>
  <si>
    <t>Average journey time saving per cash fare passenger carried (BUS)</t>
  </si>
  <si>
    <t>Average journey time saving per cash fare passenger carried (TRAM)</t>
  </si>
  <si>
    <t>Calcualated by multiplying cells B3 and B6 together</t>
  </si>
  <si>
    <t>Estimated number attributable to bus trips</t>
  </si>
  <si>
    <t>Multiplies number of cash fare transactions by % of bus trips in RH zone</t>
  </si>
  <si>
    <t>Estimated number attributable to tram trips</t>
  </si>
  <si>
    <t>Multiplies number of cash fare transactions by % of NET tram trips in RH zone</t>
  </si>
  <si>
    <t>Estimated bus passenger hours saved through RH Mobile payment</t>
  </si>
  <si>
    <t>Estimated tram passenger hours saved through RH mobile payment</t>
  </si>
  <si>
    <t>Calculated by multiplying Cell A7 and Cell A12 then factoring to hours</t>
  </si>
  <si>
    <t>Calculated by multiplying Cell A9 and Cell A13 then factoring to hours</t>
  </si>
  <si>
    <t>Total PSV passenger value of time saving (2010 prices)</t>
  </si>
  <si>
    <t>Estimated total bus and tram pax hours saved</t>
  </si>
  <si>
    <t>Adds Cells B15 and B16 together</t>
  </si>
  <si>
    <t>Bus &amp; Tram passenger value of time benefits</t>
  </si>
  <si>
    <t>Real Time Journey Information Upgrade and Expansion</t>
  </si>
  <si>
    <t>DfT Bus passengers (Derby)</t>
  </si>
  <si>
    <t>DfT Bus passengers (Derbyshire)</t>
  </si>
  <si>
    <t>Value of RTI at stop (per trip) - Low</t>
  </si>
  <si>
    <t>Value of RTI at stop (per trip) - High</t>
  </si>
  <si>
    <t>2001 prices</t>
  </si>
  <si>
    <t>2010 prices</t>
  </si>
  <si>
    <t>Value of RTI at stop (per trip) - Average</t>
  </si>
  <si>
    <t>Value to be used</t>
  </si>
  <si>
    <t>Derived from TRL 593 - The demand for public transport: a practical guide</t>
  </si>
  <si>
    <t xml:space="preserve">Available online at: </t>
  </si>
  <si>
    <t>https://trl.co.uk/sites/default/files/TRL593%20-%20The%20Demand%20for%20Public%20Transport.pdf</t>
  </si>
  <si>
    <t>(2010 prices)</t>
  </si>
  <si>
    <t>Proportion of Derby &amp; Nottingham bus trips that benefit</t>
  </si>
  <si>
    <t>Passenger RTI value applied to estimated total bus trips in Greater Nottingham and Derby</t>
  </si>
  <si>
    <t>No. benefitting trips</t>
  </si>
  <si>
    <t>Reduction to allow for value of existing RTI at stops in Derby &amp; Nottingham</t>
  </si>
  <si>
    <t>Bus trips using the Derby Road corridor</t>
  </si>
  <si>
    <t>NET and NCT patronage values for separate 12 month periods in 2017/18</t>
  </si>
  <si>
    <t>TAG data book Nov 2018</t>
  </si>
  <si>
    <t>2001 GDP Deflator value</t>
  </si>
  <si>
    <t>Trips per annum 2017/18</t>
  </si>
  <si>
    <t>Reflects that most routes braid off of Derby Road to serve other end-destinations/origins, but use the corridor for a significant proportion of their routes</t>
  </si>
  <si>
    <t>Smart Traffic Control System upgrade</t>
  </si>
  <si>
    <t>Journey time, delay and flow data</t>
  </si>
  <si>
    <t>Road</t>
  </si>
  <si>
    <t>Direction</t>
  </si>
  <si>
    <t>A453 - Queens Drive</t>
  </si>
  <si>
    <t>AM Peak Delay (mins)</t>
  </si>
  <si>
    <t>AM Peak Journey Time (mins)</t>
  </si>
  <si>
    <t>A52 - Derby City</t>
  </si>
  <si>
    <t>Boots EZ/P&amp;R to Nottingham City</t>
  </si>
  <si>
    <t>Nottingham City to Boots EZ/P&amp;R</t>
  </si>
  <si>
    <t>Boots EZ/University to Nottingham City</t>
  </si>
  <si>
    <t>Nottingham City to Boots EZ/University</t>
  </si>
  <si>
    <t>Derby City (Morledge) to A52</t>
  </si>
  <si>
    <t>A52 to Derby City (Morledge)</t>
  </si>
  <si>
    <t>AM Peak flows (7am-10am)</t>
  </si>
  <si>
    <t>Mon-Fri, AM Peak data</t>
  </si>
  <si>
    <t>A6005 - University Bvd</t>
  </si>
  <si>
    <t xml:space="preserve">A52 - Derby Road </t>
  </si>
  <si>
    <t>Ring Road to University (north)</t>
  </si>
  <si>
    <t>University (north) to Ring Road</t>
  </si>
  <si>
    <t>AADT Flow</t>
  </si>
  <si>
    <t>% of AADT flow</t>
  </si>
  <si>
    <t>Source (flow)</t>
  </si>
  <si>
    <t>Source (JT/Delay)</t>
  </si>
  <si>
    <t>DfT AADT data, 2017, Count Point ID 81247</t>
  </si>
  <si>
    <t>Nottingham Tram impacts monitoring (2016)</t>
  </si>
  <si>
    <t>DfT AADT data, 2017, Count Point ID 17304</t>
  </si>
  <si>
    <t>Nottingham Ring Road Screenline monitoring (2018)</t>
  </si>
  <si>
    <t>Google Driving directions, 08:30am arrival</t>
  </si>
  <si>
    <t>SCOOT benefits</t>
  </si>
  <si>
    <t>http://www.its.leeds.ac.uk/projects/konsult/private/level2/instruments/instrument014/l2_014c.htm</t>
  </si>
  <si>
    <t>Location</t>
  </si>
  <si>
    <t> </t>
  </si>
  <si>
    <t>Previous Control</t>
  </si>
  <si>
    <t>% Reduction in journey time</t>
  </si>
  <si>
    <t>% Reduction in delay</t>
  </si>
  <si>
    <t>AM Peak</t>
  </si>
  <si>
    <t>Off Peak</t>
  </si>
  <si>
    <t>PM Peak</t>
  </si>
  <si>
    <t>Glasgow</t>
  </si>
  <si>
    <t>Fixed-time</t>
  </si>
  <si>
    <t>Coventry</t>
  </si>
  <si>
    <t>Foleshill</t>
  </si>
  <si>
    <t>Spon End</t>
  </si>
  <si>
    <t>Worcester (1986)</t>
  </si>
  <si>
    <t>Isolated V-A*</t>
  </si>
  <si>
    <t>Southampton (1984,5)</t>
  </si>
  <si>
    <t>London</t>
  </si>
  <si>
    <t>Average 8% cars, 6% buses</t>
  </si>
  <si>
    <t>Average 19%</t>
  </si>
  <si>
    <t>Average across all locations</t>
  </si>
  <si>
    <t>PM peak</t>
  </si>
  <si>
    <t>% reduction in delay</t>
  </si>
  <si>
    <t>Double to reflect assumed similar level of delay in the PM peak</t>
  </si>
  <si>
    <t>Source: TRL Research evidence</t>
  </si>
  <si>
    <t>Estimated total mins of journey delay saved through smart traffic control implementation</t>
  </si>
  <si>
    <t>Multiply by number of delay mins per annum</t>
  </si>
  <si>
    <t>Tempro traffic growth forecast (Tempro v7.2, East Midlands NTEM dataset published 28/2/2017)</t>
  </si>
  <si>
    <t>TEMPRO data for Nottingham, average weekday, 2019 - 2038</t>
  </si>
  <si>
    <t>Car passenger and driver combined</t>
  </si>
  <si>
    <t>Traffic growth for 5 year period (relative to 2017 AADT baseline)</t>
  </si>
  <si>
    <t>Production</t>
  </si>
  <si>
    <t>Attraction</t>
  </si>
  <si>
    <t>Average increase</t>
  </si>
  <si>
    <t>AM peak period 2017-2019</t>
  </si>
  <si>
    <t>AM peak period 2020-2024</t>
  </si>
  <si>
    <t>AM peak period 2025-2029</t>
  </si>
  <si>
    <t>AM peak period 2030-2034</t>
  </si>
  <si>
    <t>AM peak period 2035-2039</t>
  </si>
  <si>
    <t>PM peak period 2017-2019</t>
  </si>
  <si>
    <t>PM peak period 2020-2024</t>
  </si>
  <si>
    <t>PM peak period 2025-2029</t>
  </si>
  <si>
    <t>PM peak period 2030-2034</t>
  </si>
  <si>
    <t>PM peak period 2035-2039</t>
  </si>
  <si>
    <t>AM &amp; PM peak period combined 2017-2019</t>
  </si>
  <si>
    <t>AM &amp; PM peak period combined 2020-2024</t>
  </si>
  <si>
    <t>AM &amp; PM peak period combined 2025-2029</t>
  </si>
  <si>
    <t>AM &amp; PM peak period combined 2029-2034</t>
  </si>
  <si>
    <t>AM &amp; PM peak period combined 2035-2039</t>
  </si>
  <si>
    <t>Traffic growth factors applied to baseline AADT AM and PM peak flows</t>
  </si>
  <si>
    <t>Value of time per (average car)</t>
  </si>
  <si>
    <t>Resource cost values pence per minute (2010 prices)</t>
  </si>
  <si>
    <t>AM Peak (7am- 10am)</t>
  </si>
  <si>
    <t>PM Peak (4pm- 7pm)</t>
  </si>
  <si>
    <t>Average AM + PM Peak</t>
  </si>
  <si>
    <t xml:space="preserve">GDP deflated </t>
  </si>
  <si>
    <t xml:space="preserve">Discounted </t>
  </si>
  <si>
    <t>Raw WebTAG VoT</t>
  </si>
  <si>
    <t>WebTAG VoT</t>
  </si>
  <si>
    <t>(TEMPRO adjusted)</t>
  </si>
  <si>
    <t xml:space="preserve">AM/PM Peak delay mins saved </t>
  </si>
  <si>
    <t>Divide by 60 (mins) to calculate annual hours of total jouney time delay</t>
  </si>
  <si>
    <t>Totals</t>
  </si>
  <si>
    <t>Assumes one third of average RTI benefit, to reflect this is an upgrade to the existing system</t>
  </si>
  <si>
    <t>Value of RTI (2010 Nominal Prices)</t>
  </si>
  <si>
    <t>GDP deflated (2010 Real Prices)</t>
  </si>
  <si>
    <t>Nominal prices</t>
  </si>
  <si>
    <t>Real prices</t>
  </si>
  <si>
    <t>Nominal Prices</t>
  </si>
  <si>
    <t>Real Prices</t>
  </si>
  <si>
    <t>Table A1.3.6 (Nominal 2010 prices)</t>
  </si>
  <si>
    <t>(Real 2010 prices)</t>
  </si>
  <si>
    <t>NPV of benefits at 2010 real prices</t>
  </si>
  <si>
    <t>Average reduction in delay to private car trips in AM/PM peak</t>
  </si>
  <si>
    <t>Total AM Peak Delay per day (mins)</t>
  </si>
  <si>
    <t>Hours of delay time per annum</t>
  </si>
  <si>
    <t>Evidence of impact from SCOOT smart traffic control schemes on private car traffic:</t>
  </si>
  <si>
    <t>Source: Provision of market research for value of
travel time savings and Reliability: Phase 2 Report’, ITS and Accent for the Department for
Transport, 2015</t>
  </si>
  <si>
    <t>Journey time reliability ratio</t>
  </si>
  <si>
    <t>Valued journey time reliability</t>
  </si>
  <si>
    <t>Multiply by % to reflect extent of routes covered by smart traffic control interventions</t>
  </si>
  <si>
    <t>Bus priority measures impact</t>
  </si>
  <si>
    <t>https://trl.co.uk/sites/default/files/TRL409.pdf</t>
  </si>
  <si>
    <t xml:space="preserve">Monetary valuation of resulting car journey time reliability improvement </t>
  </si>
  <si>
    <t xml:space="preserve">Monetary valuation of resulting bus journey time reliability improvement </t>
  </si>
  <si>
    <t>Bus passengers using Derby Road corridor (per annum)</t>
  </si>
  <si>
    <t>Average AM Peak delay for trips into Nottingham</t>
  </si>
  <si>
    <t>Average AM Peak delay for trips into Derby</t>
  </si>
  <si>
    <t>mins per AM peak trip</t>
  </si>
  <si>
    <t>Estimated each way trips</t>
  </si>
  <si>
    <t>Evidence of impact from Bus Priority schemes on bus service reliability and journey times:</t>
  </si>
  <si>
    <t>Average mins journey time reduction to bus trips achieved in AM/PM peak through bus priority measures</t>
  </si>
  <si>
    <t>Bus journey time reliability ratio</t>
  </si>
  <si>
    <t xml:space="preserve">AM/PM Peak delay hours saved </t>
  </si>
  <si>
    <t>Multiply by 40% to reflect average AM/PM peak period bus trips relative to trips in rest of day (assumed from traffic flow proportions)</t>
  </si>
  <si>
    <t>Multiply by number of bus trips per annum along corridor</t>
  </si>
  <si>
    <t>Divide by 60 to convert into hours to estimated total hours of journey delay that could be saved through smart traffic control/bus priority implementation</t>
  </si>
  <si>
    <t>Multiply by 220 to reflect there are 220 working days per annum</t>
  </si>
  <si>
    <t>Electric Vehicle Charging Infrastructure</t>
  </si>
  <si>
    <t xml:space="preserve">Estimated bus/tram patronage and mode-shift benefits linked to RH Mobile/Smartphone fare payment </t>
  </si>
  <si>
    <t>Robin Hood on Mobile</t>
  </si>
  <si>
    <t>Contactless Tram platform ticket machine upgrade</t>
  </si>
  <si>
    <t>Optimism Bias</t>
  </si>
  <si>
    <t>3 - Full Biz Case</t>
  </si>
  <si>
    <t>Smart Public Transport Information Systems</t>
  </si>
  <si>
    <t>Smart Public Transport Payments</t>
  </si>
  <si>
    <t>Real-Time Information Display upgrade</t>
  </si>
  <si>
    <t>Real-Time data feed consolidation</t>
  </si>
  <si>
    <t>Smart Traffic System Controls and PT Priority</t>
  </si>
  <si>
    <t>Junction priority improvements to Queens Drive</t>
  </si>
  <si>
    <t>City to A52 junction priority improvements in Derby</t>
  </si>
  <si>
    <t>Scheme Descriptions</t>
  </si>
  <si>
    <t>Package Title</t>
  </si>
  <si>
    <t>Estimated Cost</t>
  </si>
  <si>
    <t>% Optimism Bias Uplift</t>
  </si>
  <si>
    <t>NPV Benefits 
(2010 real prices)</t>
  </si>
  <si>
    <t>Smart PT Hubs</t>
  </si>
  <si>
    <t>East Midlands Gateway Electric Shuttle Charging Infra</t>
  </si>
  <si>
    <t>P&amp;R EV Charging infrastructure</t>
  </si>
  <si>
    <t>EV bike hire scheme</t>
  </si>
  <si>
    <t xml:space="preserve">Roxhill EMG </t>
  </si>
  <si>
    <t>DN Metro mobility/access</t>
  </si>
  <si>
    <t>Bike Hire operator</t>
  </si>
  <si>
    <t>Strategic Cycle Access to Nottingham - Phase 1</t>
  </si>
  <si>
    <t>Former Spondon Canal</t>
  </si>
  <si>
    <t>Former Rail line</t>
  </si>
  <si>
    <t>Network Rail</t>
  </si>
  <si>
    <t>Strategic Cycle Access to Derby - Phase 1</t>
  </si>
  <si>
    <t>Nottingham EZ Connection</t>
  </si>
  <si>
    <t>Canal/River path upgrade through central Nottingham</t>
  </si>
  <si>
    <t>Walgreen Boots</t>
  </si>
  <si>
    <t>Clifton Growth Area + Rail Station + East Mids Airport connectivity package</t>
  </si>
  <si>
    <t>Upgrade of Clifton network + connection to growth area</t>
  </si>
  <si>
    <t>Connection of Clifton network at RR flyover</t>
  </si>
  <si>
    <t>Access to Nottingham Station &amp; City Centre network</t>
  </si>
  <si>
    <t>PT Package</t>
  </si>
  <si>
    <t>Cycling Package</t>
  </si>
  <si>
    <t>Includes optimism bias, applied appropriately depending on state of readiness for each scheme</t>
  </si>
  <si>
    <t>Third party match funding</t>
  </si>
  <si>
    <t>Total DfT ask</t>
  </si>
  <si>
    <t>All packages</t>
  </si>
  <si>
    <t>Smart Traffic Camera Trial covering Nottingham EZ A6005 and A52 corridors</t>
  </si>
  <si>
    <t>Clifton South P&amp;R</t>
  </si>
  <si>
    <t>Additional 7KW dual posts</t>
  </si>
  <si>
    <t>Additional  50KW rapid charger</t>
  </si>
  <si>
    <t>EV spaces</t>
  </si>
  <si>
    <t>EV space</t>
  </si>
  <si>
    <t xml:space="preserve">Location </t>
  </si>
  <si>
    <t>Toton P&amp;R</t>
  </si>
  <si>
    <t>Queens Drive P&amp;R</t>
  </si>
  <si>
    <t>Additional 7KW single posts</t>
  </si>
  <si>
    <t>Additional EV spaces in total</t>
  </si>
  <si>
    <t>EV charge point utilisation in Nottingham</t>
  </si>
  <si>
    <t>charge cycles per day</t>
  </si>
  <si>
    <t>Based on Nottingham GUL programme monitoring</t>
  </si>
  <si>
    <t>Tram</t>
  </si>
  <si>
    <t>LRT0107 - Average length of journey on light rail and trams by system in England</t>
  </si>
  <si>
    <t>PT mode served</t>
  </si>
  <si>
    <t>Derived from programme information provided by Nottingham CC</t>
  </si>
  <si>
    <t>Average PT journey length (KM)</t>
  </si>
  <si>
    <t>Estimated vehicle trips into Nottingham City Centre reduced by EV charge point installations</t>
  </si>
  <si>
    <t>Spaces</t>
  </si>
  <si>
    <t>Charge cycles / day</t>
  </si>
  <si>
    <t>Reduction in car trip KM/day</t>
  </si>
  <si>
    <t>Est. proportion of trips into City Centre/using P&amp;R</t>
  </si>
  <si>
    <t>No. chargers</t>
  </si>
  <si>
    <t>No. car parking spaces</t>
  </si>
  <si>
    <t>Working days per annum</t>
  </si>
  <si>
    <t>Based on obsverations at Nottingham P&amp;R</t>
  </si>
  <si>
    <t>Est. Round trips by P&amp;R</t>
  </si>
  <si>
    <t>Estimated PAX trips transferred to local PT/day</t>
  </si>
  <si>
    <t>Annualised values (2019)</t>
  </si>
  <si>
    <t>Estimated change in bus &amp; tram P&amp;R trips / annum</t>
  </si>
  <si>
    <t>Estimated change in private car trips (by EV) / annum</t>
  </si>
  <si>
    <t>Estimated change in (EV) car trip KM / annum</t>
  </si>
  <si>
    <t>Valuation of benefits</t>
  </si>
  <si>
    <t>Traffic decongestion benefits associated with mode shift from car to P&amp;R</t>
  </si>
  <si>
    <t>NB - set to zero to reflect EV mode switching</t>
  </si>
  <si>
    <t>Total over appraisal period</t>
  </si>
  <si>
    <t>2 - Outline Business Case</t>
  </si>
  <si>
    <t>Chargemaster</t>
  </si>
  <si>
    <t>Estimated cost
(2019 prices)</t>
  </si>
  <si>
    <t>Tramlink</t>
  </si>
  <si>
    <t>Cost excluding Optimism Bias</t>
  </si>
  <si>
    <t>Canals &amp; Rivers Trust + 
S106 contribution</t>
  </si>
  <si>
    <t>Smart traffic camera firm</t>
  </si>
  <si>
    <t>Total cost 
(inc match funding)</t>
  </si>
  <si>
    <t>Total Cost (inc match funding, 2010 real prices)</t>
  </si>
  <si>
    <t>Total Package Cost for economic appraisal 
(2010 prices)</t>
  </si>
  <si>
    <t>Component Costs
(2010 real prices)</t>
  </si>
  <si>
    <t>S106 contribution to Ruschliffe BC</t>
  </si>
  <si>
    <t>Total DfT ask (2019 prices)</t>
  </si>
  <si>
    <t>Total package value including third party match funding (2019 prices)</t>
  </si>
  <si>
    <t>Match funding (third parties)</t>
  </si>
  <si>
    <t>From 2017/18 RH data</t>
  </si>
  <si>
    <t>Any cycling</t>
  </si>
  <si>
    <t>LA code</t>
  </si>
  <si>
    <r>
      <t>Local Authority</t>
    </r>
    <r>
      <rPr>
        <b/>
        <vertAlign val="superscript"/>
        <sz val="10"/>
        <color rgb="FF000000"/>
        <rFont val="Arial"/>
        <family val="2"/>
      </rPr>
      <t>4</t>
    </r>
  </si>
  <si>
    <t>At least:</t>
  </si>
  <si>
    <t>Once per month</t>
  </si>
  <si>
    <t>Once per week</t>
  </si>
  <si>
    <t>Three times per week</t>
  </si>
  <si>
    <t>Five times per week</t>
  </si>
  <si>
    <t>E06000015</t>
  </si>
  <si>
    <t>Derby</t>
  </si>
  <si>
    <t>E06000018</t>
  </si>
  <si>
    <t>Nottingham</t>
  </si>
  <si>
    <t>DfT Table CW0302</t>
  </si>
  <si>
    <t xml:space="preserve"> </t>
  </si>
  <si>
    <t xml:space="preserve">Source: </t>
  </si>
  <si>
    <t>Walking and Cycling Statistics (https://www.gov.uk/government/collections/walking-and-cycling-statistics)</t>
  </si>
  <si>
    <t>E-bike hire scheme - Nottingham introduction and Derby expansion</t>
  </si>
  <si>
    <t>Combined with population data from ONS mid-year estimates (2017)</t>
  </si>
  <si>
    <t>Population</t>
  </si>
  <si>
    <t>With overlaps between cycling groups netted out</t>
  </si>
  <si>
    <t>Total unique people</t>
  </si>
  <si>
    <t>https://www.ons.gov.uk/peoplepopulationandcommunity/populationandmigration/populationestimates/datasets/populationestimatesforukenglandandwalesscotlandandnorthernireland</t>
  </si>
  <si>
    <t>Estimated number of person trips per annum</t>
  </si>
  <si>
    <t>Est annual cycling trips</t>
  </si>
  <si>
    <t>Population not cycling at all</t>
  </si>
  <si>
    <t>Estimated numbers of people cycling in each city</t>
  </si>
  <si>
    <t>Estimated annual cycling trips in each city</t>
  </si>
  <si>
    <t>Proportion of adults that cycle, by frequency, purpose and local authority, England, 2016-2017</t>
  </si>
  <si>
    <t>https://como.org.uk/wp-content/uploads/2018/05/Shared-Electric-Bike-Programme-Final-Report.pdf</t>
  </si>
  <si>
    <t>Key findings from COMO Shared Electric Bike Programme Final Report (2016)</t>
  </si>
  <si>
    <t>of shared e-bike users rarely or never cycled before they started using e-bikes</t>
  </si>
  <si>
    <t>of e-bike users previously struggled to use a regular bike for fitness/health reasons</t>
  </si>
  <si>
    <t>Average trip lengths</t>
  </si>
  <si>
    <t>KM = average shared e-bike trip length</t>
  </si>
  <si>
    <t>Km = national average cycle trip length</t>
  </si>
  <si>
    <t>valued the e-bike as a tool to reduce their car travel</t>
  </si>
  <si>
    <t>used an e-bike for commuting as their main trip purpose</t>
  </si>
  <si>
    <t>used an e-bike for business trips as their main trip purpose</t>
  </si>
  <si>
    <t>of e-bike users replaced trips as car drivers/passengers/taxi users with e-bike trips</t>
  </si>
  <si>
    <t>Page 69 in the COMO report cited above</t>
  </si>
  <si>
    <t>Hires/journeys</t>
  </si>
  <si>
    <t>No of e-bikes</t>
  </si>
  <si>
    <t>Within 10 months of launch</t>
  </si>
  <si>
    <t>Factored to 12 months</t>
  </si>
  <si>
    <t>Average members / hires / utilisation / e-bikes per scheme</t>
  </si>
  <si>
    <t>Average hire duration (mins)</t>
  </si>
  <si>
    <t>Average number of hires per e-bike</t>
  </si>
  <si>
    <t>Existing number of bikes</t>
  </si>
  <si>
    <t>Expanded scheme</t>
  </si>
  <si>
    <t>e-bike hire scheme variables in Nottingham and Derby</t>
  </si>
  <si>
    <t>Additional e-bikes</t>
  </si>
  <si>
    <t>Members/users</t>
  </si>
  <si>
    <t>Average members / users per ebike</t>
  </si>
  <si>
    <t>Additional users/members</t>
  </si>
  <si>
    <t>Additional hires</t>
  </si>
  <si>
    <t>Additional KM cycled</t>
  </si>
  <si>
    <t>Estimated annualised activity impacts of e-bike hire scheme interventions in Derby and Nottingham</t>
  </si>
  <si>
    <t>Reduction in car trips</t>
  </si>
  <si>
    <t>of e-bike users reported reduced journey times as a benefit of shared e-bike use</t>
  </si>
  <si>
    <t>New cyclists</t>
  </si>
  <si>
    <t>Estimated scale-up of activity</t>
  </si>
  <si>
    <t>Year 3 (2021)</t>
  </si>
  <si>
    <t>Year 4 onwards</t>
  </si>
  <si>
    <t>Additional cyclists</t>
  </si>
  <si>
    <t>Reduced car KM travelled</t>
  </si>
  <si>
    <t>Reduced car trips</t>
  </si>
  <si>
    <t>Additional cycle trips</t>
  </si>
  <si>
    <t>Estimated change in travel patterns</t>
  </si>
  <si>
    <t>WebTAG Marginal External Benefits</t>
  </si>
  <si>
    <t>Net Present Benefits in real 2010 prices</t>
  </si>
  <si>
    <t>Health benefits (from Active Mode Appraisal Toolkit)</t>
  </si>
  <si>
    <t>Reduced risk of premature death</t>
  </si>
  <si>
    <t>Additional cycle trips per day</t>
  </si>
  <si>
    <t>Absenteeism</t>
  </si>
  <si>
    <t>Total health benefits</t>
  </si>
  <si>
    <t>Number of staff on site when development is completed</t>
  </si>
  <si>
    <t>Travel Plan target for proportion of PT arrivals</t>
  </si>
  <si>
    <t>Number of daily arrivals by PT</t>
  </si>
  <si>
    <t>Assumed proportion of PT arrivals that will use the EV shuttle</t>
  </si>
  <si>
    <t>Number of possible EV shuttle users</t>
  </si>
  <si>
    <t>Car trips reduced</t>
  </si>
  <si>
    <t>Assumed proportion of EV shuttle users that would otherwise drive to site</t>
  </si>
  <si>
    <t>Multiplied by 220 working days per annum</t>
  </si>
  <si>
    <t>Number of car trips reduced per annum</t>
  </si>
  <si>
    <t>Estimated build-out and occupation rate influence on car trips</t>
  </si>
  <si>
    <t>Units built</t>
  </si>
  <si>
    <t>Est. Staff on-site</t>
  </si>
  <si>
    <t>% of total staff (cumulative)</t>
  </si>
  <si>
    <t>Estimated annual car trips reduced</t>
  </si>
  <si>
    <t>2023 (onwards)</t>
  </si>
  <si>
    <t>Multipled by average car trip distance in Km</t>
  </si>
  <si>
    <t>Vehicle KM saved per annum</t>
  </si>
  <si>
    <t>Estimated annual car Km saved</t>
  </si>
  <si>
    <t>Smart Public Transport Component</t>
  </si>
  <si>
    <t>Hours per trip</t>
  </si>
  <si>
    <t>Hours saved p.a</t>
  </si>
  <si>
    <t>Mins per trip</t>
  </si>
  <si>
    <t>AM/PM Peak trips affected
per annum</t>
  </si>
  <si>
    <t>Estimated increase in bus/tram passenger trips and travelled pax-km over appraisal period attributable to Smart PT Hub EV charging facilities</t>
  </si>
  <si>
    <t>Link length (Km)</t>
  </si>
  <si>
    <t>AM/PM Peak trip distances affected (Km per annum)</t>
  </si>
  <si>
    <t>Avg AM peak trip length (in KM)</t>
  </si>
  <si>
    <t>AVG AM peak journey time (in hrs)</t>
  </si>
  <si>
    <t>Avg speed on links in KPH</t>
  </si>
  <si>
    <t>Fewer car trips per day</t>
  </si>
  <si>
    <t>Total mins of AM peak period journey time delays to vehicles</t>
  </si>
  <si>
    <t>Pax affected</t>
  </si>
  <si>
    <t>Pax affected per day</t>
  </si>
  <si>
    <t>Pax hrs affcted</t>
  </si>
  <si>
    <t>Total mins of AM peak journey times affected</t>
  </si>
  <si>
    <t>Total AADT flows affected in AM peak</t>
  </si>
  <si>
    <t>Total AAD distances travelled in AM peak</t>
  </si>
  <si>
    <t>Total AM + PM peak delay per annum (mins)</t>
  </si>
  <si>
    <t>Total AM + PM peak delay per working day (mins)</t>
  </si>
  <si>
    <t>Total journey time into Nottingham</t>
  </si>
  <si>
    <t>Total journey time into Derby</t>
  </si>
  <si>
    <t>Total pax journey time (hours) into Nottingham</t>
  </si>
  <si>
    <t>Total pax journey time (hours) into Derby</t>
  </si>
  <si>
    <t>Total hours</t>
  </si>
  <si>
    <t>Estimated number of bus trips along the Derby Rd Corridor benefitting from enhanced RTI</t>
  </si>
  <si>
    <t>RTI amenity value for local PT users</t>
  </si>
  <si>
    <t>Time savings for local PT users</t>
  </si>
  <si>
    <t xml:space="preserve">Time savings for car drivers </t>
  </si>
  <si>
    <t>Estimated AM/PM peak trips benefitting from smart traffic camera + PT priority measures</t>
  </si>
  <si>
    <t>Estimated AM/PM peak journey time savings for car drivers from reduced delay/variability</t>
  </si>
  <si>
    <t>Total passenger hours saved through bus journey time reliability improvement + priority measures</t>
  </si>
  <si>
    <t>Estimated cost of scheme, including Optimism Bias uplift</t>
  </si>
  <si>
    <t>Total value of bus passenger RTI benefits</t>
  </si>
  <si>
    <t>WebTAG mode-shift benefits linked to EV charging infrastructure + EV shuttle bus facilities</t>
  </si>
  <si>
    <t>Reduction in car KM</t>
  </si>
  <si>
    <t>Match funding contributions</t>
  </si>
  <si>
    <t>Total bus passenger valued time saving benefits (£ Present Value Benefits, 2010 prices)</t>
  </si>
  <si>
    <t>Total amenity value for bus passengers (£ Present Value Benefits, 2010 prices)</t>
  </si>
  <si>
    <t>Total value of time saving benefits for car drivers (£ Present Value Benefits, 2010 prices)</t>
  </si>
  <si>
    <t>Marginal External Benefits from reduced car travel (£ Present Value Benefits, 2010 prices)</t>
  </si>
  <si>
    <t>Total cost savings for bus operators (£ Present Value Benefits, 2010 prices)</t>
  </si>
  <si>
    <t>Total Benefits 2019-2038 (£ Present Value Benefits, 2010 prices)</t>
  </si>
  <si>
    <t>Total benefits  2019-2038 (2010 prices)</t>
  </si>
  <si>
    <t>East Midlands Gateway Smart Hub Charging Infrastructure for first/last mile shuttle bus</t>
  </si>
  <si>
    <t xml:space="preserve">Traffic Master data extracted and analysed by Nottingham City Council </t>
  </si>
  <si>
    <t>Multiply by 10% to reflect portion of route delays that could be reduced through smart traffic control/bus priority systems</t>
  </si>
  <si>
    <t>Traffic decongestion benefits associated with EV Shuttle service</t>
  </si>
  <si>
    <t>% of all benefits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</si>
</sst>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
    <numFmt numFmtId="166" formatCode="0.0"/>
    <numFmt numFmtId="167" formatCode="_-[$£-809]* #,##0.00_-;\-[$£-809]* #,##0.00_-;_-[$£-809]* &quot;-&quot;??_-;_-@_-"/>
    <numFmt numFmtId="168" formatCode="_(* #,##0_);_(* \(#,##0\);_(* &quot;-&quot;??_);_(@_)"/>
    <numFmt numFmtId="169" formatCode="_-[$£-809]* #,##0_-;\-[$£-809]* #,##0_-;_-[$£-809]* &quot;-&quot;??_-;_-@_-"/>
    <numFmt numFmtId="170" formatCode="&quot;£&quot;#,##0.00"/>
    <numFmt numFmtId="171" formatCode="&quot;£&quot;#,##0"/>
    <numFmt numFmtId="172" formatCode="0.000000"/>
    <numFmt numFmtId="173" formatCode="0.00000"/>
    <numFmt numFmtId="174" formatCode="_-* #,##0_-;\-* #,##0_-;_-* &quot;-&quot;?_-;_-@_-"/>
    <numFmt numFmtId="175" formatCode="_-&quot;£&quot;* #,##0_-;\-&quot;£&quot;* #,##0_-;_-&quot;£&quot;* &quot;-&quot;??_-;_-@_-"/>
    <numFmt numFmtId="176" formatCode="&quot;£&quot;#,##0.000"/>
    <numFmt numFmtId="177" formatCode="0.0000"/>
    <numFmt numFmtId="178" formatCode="_-* #,##0.0_-;\-* #,##0.0_-;_-* &quot;-&quot;??_-;_-@_-"/>
    <numFmt numFmtId="179" formatCode="&quot; &quot;#,##0.00&quot; &quot;;&quot;-&quot;#,##0.00&quot; &quot;;&quot; -&quot;00&quot; &quot;;&quot; &quot;@&quot; &quot;"/>
  </numFmts>
  <fonts count="4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indexed="8"/>
      <name val="Arial"/>
      <family val="2"/>
    </font>
    <font>
      <i/>
      <sz val="11"/>
      <color theme="1"/>
      <name val="Calibri"/>
      <family val="2"/>
      <scheme val="minor"/>
    </font>
    <font>
      <sz val="11"/>
      <name val="Calibri"/>
      <family val="2"/>
      <scheme val="minor"/>
    </font>
    <font>
      <sz val="11"/>
      <color rgb="FFFF0000"/>
      <name val="Calibri"/>
      <family val="2"/>
      <scheme val="minor"/>
    </font>
    <font>
      <b/>
      <sz val="11"/>
      <name val="Calibri"/>
      <family val="2"/>
      <scheme val="minor"/>
    </font>
    <font>
      <sz val="10"/>
      <name val="Arial"/>
      <family val="2"/>
    </font>
    <font>
      <b/>
      <sz val="10"/>
      <color indexed="9"/>
      <name val="Arial"/>
      <family val="2"/>
    </font>
    <font>
      <b/>
      <sz val="10"/>
      <color indexed="8"/>
      <name val="Arial"/>
      <family val="2"/>
    </font>
    <font>
      <b/>
      <sz val="16"/>
      <color theme="1"/>
      <name val="Calibri"/>
      <family val="2"/>
      <scheme val="minor"/>
    </font>
    <font>
      <sz val="12"/>
      <color theme="1"/>
      <name val="Calibri"/>
      <family val="2"/>
      <scheme val="minor"/>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rgb="FF333333"/>
      <name val="Verdana"/>
      <family val="2"/>
    </font>
    <font>
      <sz val="9"/>
      <color rgb="FF333333"/>
      <name val="Verdana"/>
      <family val="2"/>
    </font>
    <font>
      <sz val="10"/>
      <color rgb="FF000000"/>
      <name val="Arial"/>
      <family val="2"/>
    </font>
    <font>
      <u/>
      <sz val="10"/>
      <color rgb="FF0000FF"/>
      <name val="Arial"/>
      <family val="2"/>
    </font>
    <font>
      <sz val="11"/>
      <color rgb="FF000000"/>
      <name val="Calibri"/>
      <family val="2"/>
    </font>
    <font>
      <b/>
      <sz val="10"/>
      <color rgb="FF000000"/>
      <name val="Arial"/>
      <family val="2"/>
    </font>
    <font>
      <b/>
      <vertAlign val="superscript"/>
      <sz val="10"/>
      <color rgb="FF000000"/>
      <name val="Arial"/>
      <family val="2"/>
    </font>
  </fonts>
  <fills count="42">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indexed="17"/>
        <bgColor indexed="64"/>
      </patternFill>
    </fill>
    <fill>
      <patternFill patternType="solid">
        <fgColor indexed="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FFFFFF"/>
        <bgColor rgb="FFFFFFFF"/>
      </patternFill>
    </fill>
    <fill>
      <patternFill patternType="solid">
        <fgColor theme="7" tint="0.59999389629810485"/>
        <bgColor indexed="64"/>
      </patternFill>
    </fill>
  </fills>
  <borders count="44">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medium">
        <color rgb="FF000000"/>
      </top>
      <bottom/>
      <diagonal/>
    </border>
    <border>
      <left/>
      <right/>
      <top style="medium">
        <color rgb="FF000000"/>
      </top>
      <bottom style="thin">
        <color rgb="FF000000"/>
      </bottom>
      <diagonal/>
    </border>
    <border>
      <left/>
      <right/>
      <top/>
      <bottom style="medium">
        <color rgb="FF000000"/>
      </bottom>
      <diagonal/>
    </border>
    <border>
      <left/>
      <right/>
      <top style="thin">
        <color rgb="FF000000"/>
      </top>
      <bottom style="medium">
        <color indexed="64"/>
      </bottom>
      <diagonal/>
    </border>
  </borders>
  <cellStyleXfs count="52">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44" fontId="1" fillId="0" borderId="0" applyFont="0" applyFill="0" applyBorder="0" applyAlignment="0" applyProtection="0"/>
    <xf numFmtId="0" fontId="14" fillId="0" borderId="0"/>
    <xf numFmtId="0" fontId="9" fillId="0" borderId="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7" borderId="0" applyNumberFormat="0" applyBorder="0" applyAlignment="0" applyProtection="0"/>
    <xf numFmtId="0" fontId="18" fillId="11" borderId="0" applyNumberFormat="0" applyBorder="0" applyAlignment="0" applyProtection="0"/>
    <xf numFmtId="0" fontId="19" fillId="28" borderId="25" applyNumberFormat="0" applyAlignment="0" applyProtection="0"/>
    <xf numFmtId="0" fontId="20" fillId="29" borderId="26" applyNumberFormat="0" applyAlignment="0" applyProtection="0"/>
    <xf numFmtId="0" fontId="21" fillId="0" borderId="0" applyNumberFormat="0" applyFill="0" applyBorder="0" applyAlignment="0" applyProtection="0"/>
    <xf numFmtId="0" fontId="22" fillId="12" borderId="0" applyNumberFormat="0" applyBorder="0" applyAlignment="0" applyProtection="0"/>
    <xf numFmtId="0" fontId="23" fillId="0" borderId="27" applyNumberFormat="0" applyFill="0" applyAlignment="0" applyProtection="0"/>
    <xf numFmtId="0" fontId="24" fillId="0" borderId="28" applyNumberFormat="0" applyFill="0" applyAlignment="0" applyProtection="0"/>
    <xf numFmtId="0" fontId="25" fillId="0" borderId="29" applyNumberFormat="0" applyFill="0" applyAlignment="0" applyProtection="0"/>
    <xf numFmtId="0" fontId="25" fillId="0" borderId="0" applyNumberFormat="0" applyFill="0" applyBorder="0" applyAlignment="0" applyProtection="0"/>
    <xf numFmtId="0" fontId="26" fillId="15" borderId="25" applyNumberFormat="0" applyAlignment="0" applyProtection="0"/>
    <xf numFmtId="0" fontId="27" fillId="0" borderId="30" applyNumberFormat="0" applyFill="0" applyAlignment="0" applyProtection="0"/>
    <xf numFmtId="0" fontId="28" fillId="30" borderId="0" applyNumberFormat="0" applyBorder="0" applyAlignment="0" applyProtection="0"/>
    <xf numFmtId="0" fontId="9" fillId="31" borderId="31" applyNumberFormat="0" applyFont="0" applyAlignment="0" applyProtection="0"/>
    <xf numFmtId="0" fontId="29" fillId="28"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35" fillId="0" borderId="0"/>
    <xf numFmtId="0" fontId="36" fillId="0" borderId="0" applyNumberFormat="0" applyFill="0" applyBorder="0" applyAlignment="0" applyProtection="0"/>
    <xf numFmtId="179" fontId="37" fillId="0" borderId="0" applyFont="0" applyFill="0" applyBorder="0" applyAlignment="0" applyProtection="0"/>
    <xf numFmtId="9" fontId="37" fillId="0" borderId="0" applyFont="0" applyFill="0" applyBorder="0" applyAlignment="0" applyProtection="0"/>
  </cellStyleXfs>
  <cellXfs count="305">
    <xf numFmtId="0" fontId="0" fillId="0" borderId="0" xfId="0"/>
    <xf numFmtId="0" fontId="2" fillId="0" borderId="0" xfId="0" applyFont="1"/>
    <xf numFmtId="0" fontId="2" fillId="0" borderId="0" xfId="0" applyFont="1" applyAlignment="1">
      <alignment horizontal="center"/>
    </xf>
    <xf numFmtId="164" fontId="0" fillId="0" borderId="0" xfId="1" applyNumberFormat="1" applyFont="1"/>
    <xf numFmtId="165" fontId="0" fillId="0" borderId="0" xfId="0" applyNumberFormat="1"/>
    <xf numFmtId="164" fontId="0" fillId="0" borderId="0" xfId="0" applyNumberFormat="1"/>
    <xf numFmtId="2" fontId="0" fillId="0" borderId="0" xfId="2" applyNumberFormat="1" applyFont="1"/>
    <xf numFmtId="166" fontId="0" fillId="0" borderId="0" xfId="0" applyNumberFormat="1"/>
    <xf numFmtId="1" fontId="0" fillId="0" borderId="0" xfId="0" applyNumberFormat="1"/>
    <xf numFmtId="0" fontId="3" fillId="0" borderId="0" xfId="3"/>
    <xf numFmtId="167" fontId="4" fillId="0" borderId="0" xfId="0" applyNumberFormat="1" applyFont="1" applyFill="1" applyBorder="1" applyAlignment="1">
      <alignment horizontal="center" vertical="center" wrapText="1"/>
    </xf>
    <xf numFmtId="0" fontId="0" fillId="0" borderId="0" xfId="0" applyFont="1"/>
    <xf numFmtId="0" fontId="5" fillId="0" borderId="0" xfId="0" applyFont="1"/>
    <xf numFmtId="0" fontId="0" fillId="2" borderId="0" xfId="0" applyFill="1"/>
    <xf numFmtId="168" fontId="0" fillId="0" borderId="0" xfId="0" applyNumberFormat="1"/>
    <xf numFmtId="9" fontId="0" fillId="0" borderId="0" xfId="0" applyNumberFormat="1"/>
    <xf numFmtId="10" fontId="0" fillId="0" borderId="0" xfId="0" applyNumberFormat="1"/>
    <xf numFmtId="169" fontId="0" fillId="0" borderId="0" xfId="0" applyNumberFormat="1" applyAlignment="1">
      <alignment horizontal="right"/>
    </xf>
    <xf numFmtId="169" fontId="0" fillId="0" borderId="0" xfId="0" applyNumberFormat="1"/>
    <xf numFmtId="0" fontId="6" fillId="0" borderId="0" xfId="0" applyFont="1"/>
    <xf numFmtId="9" fontId="6" fillId="3" borderId="0" xfId="2" applyFont="1" applyFill="1"/>
    <xf numFmtId="10" fontId="6" fillId="3" borderId="0" xfId="0" applyNumberFormat="1" applyFont="1" applyFill="1"/>
    <xf numFmtId="10" fontId="6" fillId="0" borderId="0" xfId="0" applyNumberFormat="1" applyFont="1" applyFill="1"/>
    <xf numFmtId="169" fontId="2" fillId="2" borderId="0" xfId="0" applyNumberFormat="1" applyFont="1" applyFill="1"/>
    <xf numFmtId="0" fontId="2" fillId="2" borderId="0" xfId="0" applyFont="1" applyFill="1"/>
    <xf numFmtId="0" fontId="8" fillId="0" borderId="0" xfId="0" applyFont="1"/>
    <xf numFmtId="2" fontId="6" fillId="0" borderId="0" xfId="0" applyNumberFormat="1" applyFont="1" applyFill="1"/>
    <xf numFmtId="2" fontId="0" fillId="0" borderId="0" xfId="0" applyNumberFormat="1"/>
    <xf numFmtId="167" fontId="0" fillId="0" borderId="0" xfId="0" applyNumberFormat="1"/>
    <xf numFmtId="6" fontId="0" fillId="0" borderId="0" xfId="0" applyNumberFormat="1"/>
    <xf numFmtId="0" fontId="0" fillId="0" borderId="0" xfId="0" applyFill="1"/>
    <xf numFmtId="164" fontId="0" fillId="0" borderId="0" xfId="0" applyNumberFormat="1" applyFill="1"/>
    <xf numFmtId="9" fontId="0" fillId="0" borderId="0" xfId="2" applyFont="1"/>
    <xf numFmtId="0" fontId="7" fillId="0" borderId="0" xfId="0" applyFont="1"/>
    <xf numFmtId="0" fontId="7" fillId="0" borderId="0" xfId="0" applyFont="1" applyAlignment="1">
      <alignment wrapText="1"/>
    </xf>
    <xf numFmtId="170" fontId="0" fillId="0" borderId="0" xfId="0" applyNumberFormat="1"/>
    <xf numFmtId="171" fontId="0" fillId="0" borderId="0" xfId="0" applyNumberFormat="1"/>
    <xf numFmtId="171" fontId="2" fillId="2" borderId="0" xfId="0" applyNumberFormat="1" applyFont="1" applyFill="1"/>
    <xf numFmtId="0" fontId="10" fillId="4" borderId="1" xfId="0" applyFont="1" applyFill="1" applyBorder="1" applyAlignment="1">
      <alignment vertical="center"/>
    </xf>
    <xf numFmtId="0" fontId="10" fillId="4" borderId="2" xfId="0" applyFont="1" applyFill="1" applyBorder="1" applyAlignment="1">
      <alignment horizontal="centerContinuous" vertical="center"/>
    </xf>
    <xf numFmtId="0" fontId="10" fillId="4" borderId="3" xfId="0" applyFont="1" applyFill="1" applyBorder="1" applyAlignment="1">
      <alignment horizontal="centerContinuous" vertical="center"/>
    </xf>
    <xf numFmtId="0" fontId="10" fillId="4" borderId="4" xfId="0" applyFont="1" applyFill="1" applyBorder="1" applyAlignment="1">
      <alignment vertical="center"/>
    </xf>
    <xf numFmtId="0" fontId="10" fillId="4" borderId="5" xfId="0" applyFont="1" applyFill="1" applyBorder="1" applyAlignment="1">
      <alignment horizontal="centerContinuous" vertical="center"/>
    </xf>
    <xf numFmtId="0" fontId="10" fillId="4" borderId="6" xfId="0" applyFont="1" applyFill="1" applyBorder="1" applyAlignment="1">
      <alignment horizontal="centerContinuous" vertical="center"/>
    </xf>
    <xf numFmtId="0" fontId="9" fillId="5" borderId="4" xfId="0" applyFont="1" applyFill="1" applyBorder="1" applyAlignment="1">
      <alignment vertical="center"/>
    </xf>
    <xf numFmtId="0" fontId="11" fillId="5" borderId="7" xfId="0" applyFont="1" applyFill="1" applyBorder="1" applyAlignment="1">
      <alignment horizontal="centerContinuous" vertical="center"/>
    </xf>
    <xf numFmtId="0" fontId="11" fillId="5" borderId="8" xfId="0" applyFont="1" applyFill="1" applyBorder="1" applyAlignment="1">
      <alignment horizontal="centerContinuous" vertical="center"/>
    </xf>
    <xf numFmtId="0" fontId="11" fillId="5" borderId="9" xfId="0" applyFont="1" applyFill="1" applyBorder="1" applyAlignment="1">
      <alignment vertical="center"/>
    </xf>
    <xf numFmtId="0" fontId="11" fillId="5" borderId="10" xfId="0" applyFont="1" applyFill="1" applyBorder="1" applyAlignment="1">
      <alignment horizontal="center" vertical="center" wrapText="1"/>
    </xf>
    <xf numFmtId="0" fontId="4" fillId="0" borderId="1" xfId="0" applyFont="1" applyFill="1" applyBorder="1" applyAlignment="1">
      <alignment vertical="center"/>
    </xf>
    <xf numFmtId="173" fontId="9" fillId="0" borderId="9" xfId="0" applyNumberFormat="1" applyFont="1" applyFill="1" applyBorder="1" applyAlignment="1">
      <alignment horizontal="center" vertical="center" wrapText="1"/>
    </xf>
    <xf numFmtId="172" fontId="9" fillId="0" borderId="9" xfId="0" applyNumberFormat="1" applyFont="1" applyFill="1" applyBorder="1" applyAlignment="1">
      <alignment horizontal="center" vertical="center" wrapText="1"/>
    </xf>
    <xf numFmtId="0" fontId="4" fillId="0" borderId="11" xfId="0" applyFont="1" applyFill="1" applyBorder="1" applyAlignment="1">
      <alignment vertical="center"/>
    </xf>
    <xf numFmtId="173" fontId="9" fillId="0" borderId="12" xfId="0" applyNumberFormat="1" applyFont="1" applyFill="1" applyBorder="1" applyAlignment="1">
      <alignment horizontal="center" vertical="center" wrapText="1"/>
    </xf>
    <xf numFmtId="172" fontId="9" fillId="0" borderId="12" xfId="0" applyNumberFormat="1" applyFont="1" applyFill="1" applyBorder="1" applyAlignment="1">
      <alignment horizontal="center" vertical="center" wrapText="1"/>
    </xf>
    <xf numFmtId="0" fontId="4" fillId="0" borderId="4" xfId="0" applyFont="1" applyFill="1" applyBorder="1" applyAlignment="1">
      <alignment vertical="center"/>
    </xf>
    <xf numFmtId="173" fontId="9" fillId="0" borderId="13" xfId="0" applyNumberFormat="1" applyFont="1" applyFill="1" applyBorder="1" applyAlignment="1">
      <alignment horizontal="center" vertical="center" wrapText="1"/>
    </xf>
    <xf numFmtId="172" fontId="9" fillId="0" borderId="13"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2" fillId="0" borderId="0" xfId="0" applyFont="1" applyFill="1"/>
    <xf numFmtId="170" fontId="2" fillId="0" borderId="0" xfId="0" applyNumberFormat="1" applyFont="1"/>
    <xf numFmtId="171" fontId="0" fillId="0" borderId="0" xfId="1" applyNumberFormat="1" applyFont="1"/>
    <xf numFmtId="0" fontId="0" fillId="0" borderId="0" xfId="0" applyAlignment="1">
      <alignment horizontal="left"/>
    </xf>
    <xf numFmtId="164" fontId="1" fillId="0" borderId="0" xfId="1" applyNumberFormat="1" applyFont="1"/>
    <xf numFmtId="174" fontId="0" fillId="0" borderId="0" xfId="0" applyNumberFormat="1"/>
    <xf numFmtId="10" fontId="0" fillId="0" borderId="0" xfId="0" applyNumberFormat="1" applyAlignment="1">
      <alignment horizontal="center"/>
    </xf>
    <xf numFmtId="164" fontId="2" fillId="0" borderId="0" xfId="0" applyNumberFormat="1" applyFont="1" applyAlignment="1">
      <alignment horizontal="center"/>
    </xf>
    <xf numFmtId="0" fontId="0" fillId="0" borderId="0" xfId="0" applyAlignment="1">
      <alignment horizontal="right"/>
    </xf>
    <xf numFmtId="9" fontId="0" fillId="6" borderId="0" xfId="0" applyNumberFormat="1" applyFill="1" applyAlignment="1">
      <alignment horizontal="center"/>
    </xf>
    <xf numFmtId="0" fontId="12" fillId="0" borderId="0" xfId="0" applyFont="1"/>
    <xf numFmtId="0" fontId="0" fillId="0" borderId="0" xfId="0" applyFill="1" applyBorder="1"/>
    <xf numFmtId="0" fontId="0" fillId="0" borderId="0" xfId="0" applyBorder="1"/>
    <xf numFmtId="0" fontId="2" fillId="0" borderId="0" xfId="0" applyFont="1" applyFill="1" applyBorder="1" applyAlignment="1">
      <alignment horizontal="left" vertical="center" wrapText="1"/>
    </xf>
    <xf numFmtId="164" fontId="0" fillId="3" borderId="0" xfId="1" applyNumberFormat="1" applyFont="1" applyFill="1" applyBorder="1" applyAlignment="1">
      <alignment horizontal="center"/>
    </xf>
    <xf numFmtId="0" fontId="0" fillId="0" borderId="0" xfId="0" applyFont="1" applyFill="1" applyBorder="1"/>
    <xf numFmtId="164" fontId="0" fillId="3" borderId="0" xfId="1" applyNumberFormat="1" applyFont="1" applyFill="1" applyBorder="1"/>
    <xf numFmtId="0" fontId="2" fillId="0" borderId="0" xfId="0" applyFont="1" applyFill="1" applyBorder="1"/>
    <xf numFmtId="0" fontId="7" fillId="0" borderId="0" xfId="0" applyFont="1" applyBorder="1"/>
    <xf numFmtId="43" fontId="0" fillId="0" borderId="0" xfId="0" applyNumberFormat="1" applyBorder="1"/>
    <xf numFmtId="164" fontId="0" fillId="0" borderId="0" xfId="1" applyNumberFormat="1" applyFont="1" applyFill="1" applyBorder="1"/>
    <xf numFmtId="0" fontId="7" fillId="0" borderId="0" xfId="0" applyFont="1" applyFill="1" applyBorder="1"/>
    <xf numFmtId="2" fontId="0" fillId="0" borderId="0" xfId="0" applyNumberFormat="1" applyBorder="1"/>
    <xf numFmtId="0" fontId="13" fillId="0" borderId="0" xfId="0" applyFont="1" applyFill="1"/>
    <xf numFmtId="164" fontId="2" fillId="8" borderId="0" xfId="1" applyNumberFormat="1" applyFont="1" applyFill="1" applyBorder="1"/>
    <xf numFmtId="0" fontId="2" fillId="8" borderId="0" xfId="0" applyFont="1" applyFill="1" applyBorder="1"/>
    <xf numFmtId="0" fontId="2" fillId="8" borderId="0" xfId="0" applyFont="1" applyFill="1" applyBorder="1" applyAlignment="1">
      <alignment horizontal="right"/>
    </xf>
    <xf numFmtId="0" fontId="0" fillId="9" borderId="0" xfId="0" applyFont="1" applyFill="1" applyBorder="1"/>
    <xf numFmtId="0" fontId="0" fillId="9" borderId="0" xfId="0" applyFont="1" applyFill="1" applyBorder="1" applyAlignment="1">
      <alignment horizontal="right"/>
    </xf>
    <xf numFmtId="164" fontId="1" fillId="3" borderId="0" xfId="1" applyNumberFormat="1" applyFont="1" applyFill="1" applyBorder="1"/>
    <xf numFmtId="0" fontId="0" fillId="0" borderId="0" xfId="0" applyAlignment="1">
      <alignment horizontal="center" wrapText="1"/>
    </xf>
    <xf numFmtId="0" fontId="0" fillId="8" borderId="0" xfId="0" applyFill="1" applyBorder="1"/>
    <xf numFmtId="2" fontId="2" fillId="8" borderId="0" xfId="0" applyNumberFormat="1" applyFont="1" applyFill="1" applyBorder="1"/>
    <xf numFmtId="0" fontId="8" fillId="8" borderId="0" xfId="0" applyFont="1" applyFill="1" applyAlignment="1">
      <alignment horizontal="center" vertical="center"/>
    </xf>
    <xf numFmtId="166" fontId="0" fillId="0" borderId="0" xfId="0" applyNumberFormat="1" applyFill="1"/>
    <xf numFmtId="9" fontId="0" fillId="0" borderId="0" xfId="0" applyNumberFormat="1" applyFill="1"/>
    <xf numFmtId="10" fontId="0" fillId="0" borderId="0" xfId="0" applyNumberFormat="1" applyFill="1"/>
    <xf numFmtId="2" fontId="0" fillId="0" borderId="0" xfId="0" applyNumberFormat="1" applyFill="1"/>
    <xf numFmtId="0" fontId="0" fillId="8" borderId="0" xfId="0" applyFill="1"/>
    <xf numFmtId="175" fontId="0" fillId="0" borderId="0" xfId="4" applyNumberFormat="1" applyFont="1" applyFill="1" applyBorder="1"/>
    <xf numFmtId="0" fontId="2" fillId="8" borderId="0" xfId="0" applyFont="1" applyFill="1" applyBorder="1" applyAlignment="1">
      <alignment horizontal="left" vertical="center" wrapText="1"/>
    </xf>
    <xf numFmtId="43" fontId="0" fillId="0" borderId="0" xfId="0" applyNumberFormat="1" applyFill="1" applyBorder="1"/>
    <xf numFmtId="0" fontId="8" fillId="8" borderId="0" xfId="0" applyFont="1" applyFill="1" applyBorder="1"/>
    <xf numFmtId="0" fontId="6" fillId="8" borderId="0" xfId="0" applyFont="1" applyFill="1" applyBorder="1"/>
    <xf numFmtId="0" fontId="8" fillId="8" borderId="0" xfId="0" applyFont="1" applyFill="1" applyBorder="1" applyAlignment="1">
      <alignment horizontal="right"/>
    </xf>
    <xf numFmtId="169" fontId="0" fillId="0" borderId="0" xfId="1" applyNumberFormat="1" applyFont="1"/>
    <xf numFmtId="169" fontId="2" fillId="0" borderId="0" xfId="0" applyNumberFormat="1" applyFont="1"/>
    <xf numFmtId="164" fontId="0" fillId="0" borderId="0" xfId="0" applyNumberFormat="1"/>
    <xf numFmtId="0" fontId="9" fillId="0" borderId="18" xfId="0" applyFont="1" applyBorder="1"/>
    <xf numFmtId="0" fontId="9" fillId="0" borderId="19" xfId="0" applyFont="1" applyFill="1" applyBorder="1"/>
    <xf numFmtId="0" fontId="9" fillId="0" borderId="20" xfId="0" quotePrefix="1" applyFont="1" applyFill="1" applyBorder="1"/>
    <xf numFmtId="0" fontId="9" fillId="0" borderId="18" xfId="0" applyFont="1" applyFill="1" applyBorder="1"/>
    <xf numFmtId="0" fontId="9" fillId="0" borderId="21" xfId="0" applyFont="1" applyBorder="1"/>
    <xf numFmtId="0" fontId="9" fillId="0" borderId="22" xfId="0" applyFont="1" applyFill="1" applyBorder="1"/>
    <xf numFmtId="0" fontId="9" fillId="0" borderId="23" xfId="0" applyFont="1" applyFill="1" applyBorder="1"/>
    <xf numFmtId="0" fontId="9" fillId="0" borderId="21" xfId="0" applyFont="1" applyFill="1" applyBorder="1"/>
    <xf numFmtId="0" fontId="15" fillId="0" borderId="14" xfId="0" applyFont="1" applyBorder="1"/>
    <xf numFmtId="0" fontId="0" fillId="0" borderId="0" xfId="0" applyAlignment="1"/>
    <xf numFmtId="43" fontId="0" fillId="0" borderId="0" xfId="0" applyNumberFormat="1"/>
    <xf numFmtId="164" fontId="0" fillId="0" borderId="0" xfId="1" applyNumberFormat="1" applyFont="1" applyFill="1"/>
    <xf numFmtId="176" fontId="0" fillId="0" borderId="0" xfId="0" applyNumberFormat="1"/>
    <xf numFmtId="176" fontId="2" fillId="0" borderId="0" xfId="0" applyNumberFormat="1" applyFont="1" applyFill="1"/>
    <xf numFmtId="176" fontId="0" fillId="0" borderId="0" xfId="0" applyNumberFormat="1" applyFont="1" applyFill="1"/>
    <xf numFmtId="0" fontId="0" fillId="0" borderId="0" xfId="0" applyFont="1" applyFill="1"/>
    <xf numFmtId="0" fontId="6" fillId="32" borderId="0" xfId="0" applyFont="1" applyFill="1"/>
    <xf numFmtId="0" fontId="0" fillId="8" borderId="0" xfId="0" applyFill="1" applyAlignment="1">
      <alignment horizontal="center" vertical="center"/>
    </xf>
    <xf numFmtId="0" fontId="0" fillId="8" borderId="0" xfId="0" applyFill="1" applyAlignment="1">
      <alignment horizontal="center" vertical="center" wrapText="1"/>
    </xf>
    <xf numFmtId="0" fontId="2" fillId="33" borderId="0" xfId="0" applyFont="1" applyFill="1"/>
    <xf numFmtId="0" fontId="0" fillId="33" borderId="0" xfId="0" applyFill="1"/>
    <xf numFmtId="0" fontId="33" fillId="8" borderId="34" xfId="0" applyFont="1" applyFill="1" applyBorder="1" applyAlignment="1">
      <alignment wrapText="1"/>
    </xf>
    <xf numFmtId="0" fontId="34" fillId="8" borderId="34" xfId="0" applyFont="1" applyFill="1" applyBorder="1" applyAlignment="1">
      <alignment wrapText="1"/>
    </xf>
    <xf numFmtId="0" fontId="34" fillId="0" borderId="34" xfId="0" applyFont="1" applyFill="1" applyBorder="1" applyAlignment="1">
      <alignment wrapText="1"/>
    </xf>
    <xf numFmtId="1" fontId="34" fillId="0" borderId="34" xfId="0" quotePrefix="1" applyNumberFormat="1" applyFont="1" applyFill="1" applyBorder="1" applyAlignment="1">
      <alignment wrapText="1"/>
    </xf>
    <xf numFmtId="1" fontId="34" fillId="0" borderId="34" xfId="0" applyNumberFormat="1" applyFont="1" applyFill="1" applyBorder="1" applyAlignment="1">
      <alignment wrapText="1"/>
    </xf>
    <xf numFmtId="0" fontId="2" fillId="8" borderId="0" xfId="0" applyFont="1" applyFill="1"/>
    <xf numFmtId="0" fontId="2" fillId="8" borderId="0" xfId="0" applyFont="1" applyFill="1" applyAlignment="1">
      <alignment horizontal="right"/>
    </xf>
    <xf numFmtId="0" fontId="2" fillId="8" borderId="0" xfId="0" applyFont="1" applyFill="1" applyAlignment="1">
      <alignment horizontal="center"/>
    </xf>
    <xf numFmtId="0" fontId="0" fillId="8" borderId="0" xfId="0" applyFill="1" applyAlignment="1">
      <alignment horizontal="right"/>
    </xf>
    <xf numFmtId="1" fontId="0" fillId="8" borderId="0" xfId="0" applyNumberFormat="1" applyFill="1"/>
    <xf numFmtId="166" fontId="0" fillId="8" borderId="0" xfId="0" applyNumberFormat="1" applyFill="1"/>
    <xf numFmtId="177" fontId="0" fillId="0" borderId="0" xfId="0" applyNumberFormat="1"/>
    <xf numFmtId="0" fontId="0" fillId="2" borderId="0" xfId="0" applyFill="1" applyAlignment="1">
      <alignment horizontal="right"/>
    </xf>
    <xf numFmtId="164" fontId="0" fillId="2" borderId="0" xfId="0" applyNumberFormat="1" applyFill="1"/>
    <xf numFmtId="10" fontId="0" fillId="0" borderId="0" xfId="2" applyNumberFormat="1" applyFont="1"/>
    <xf numFmtId="0" fontId="3" fillId="33" borderId="0" xfId="3" applyFill="1"/>
    <xf numFmtId="0" fontId="0" fillId="3" borderId="0" xfId="0" applyFont="1" applyFill="1"/>
    <xf numFmtId="177" fontId="0" fillId="3" borderId="0" xfId="0" applyNumberFormat="1" applyFont="1" applyFill="1"/>
    <xf numFmtId="177" fontId="2" fillId="3" borderId="0" xfId="0" applyNumberFormat="1" applyFont="1" applyFill="1"/>
    <xf numFmtId="0" fontId="0" fillId="3" borderId="0" xfId="0" applyFill="1"/>
    <xf numFmtId="0" fontId="2" fillId="3" borderId="0" xfId="0" applyFont="1" applyFill="1"/>
    <xf numFmtId="0" fontId="0" fillId="0" borderId="0" xfId="0" applyFont="1" applyAlignment="1">
      <alignment horizontal="center"/>
    </xf>
    <xf numFmtId="0" fontId="0" fillId="3" borderId="0" xfId="0" applyFill="1" applyAlignment="1">
      <alignment horizontal="center"/>
    </xf>
    <xf numFmtId="0" fontId="0" fillId="3" borderId="0" xfId="0" applyFill="1" applyAlignment="1">
      <alignment horizontal="center" wrapText="1"/>
    </xf>
    <xf numFmtId="171" fontId="2" fillId="0" borderId="0" xfId="0" applyNumberFormat="1" applyFont="1"/>
    <xf numFmtId="164" fontId="2" fillId="0" borderId="0" xfId="0" applyNumberFormat="1" applyFont="1"/>
    <xf numFmtId="0" fontId="2" fillId="0" borderId="0" xfId="0" applyFont="1" applyAlignment="1">
      <alignment horizontal="right"/>
    </xf>
    <xf numFmtId="178" fontId="0" fillId="0" borderId="0" xfId="0" applyNumberFormat="1"/>
    <xf numFmtId="0" fontId="0" fillId="0" borderId="0" xfId="0" applyFill="1" applyAlignment="1">
      <alignment horizontal="right"/>
    </xf>
    <xf numFmtId="0" fontId="2" fillId="34" borderId="0" xfId="0" applyFont="1" applyFill="1"/>
    <xf numFmtId="0" fontId="0" fillId="34" borderId="0" xfId="0" applyFill="1"/>
    <xf numFmtId="9" fontId="0" fillId="34" borderId="0" xfId="0" applyNumberFormat="1" applyFill="1"/>
    <xf numFmtId="0" fontId="3" fillId="34" borderId="0" xfId="3" applyFill="1"/>
    <xf numFmtId="0" fontId="0" fillId="0" borderId="0" xfId="0" applyFont="1" applyFill="1" applyAlignment="1">
      <alignment horizontal="right"/>
    </xf>
    <xf numFmtId="0" fontId="0" fillId="0" borderId="0" xfId="0" applyFont="1" applyAlignment="1">
      <alignment horizontal="right"/>
    </xf>
    <xf numFmtId="166" fontId="0" fillId="0" borderId="0" xfId="2" applyNumberFormat="1" applyFont="1"/>
    <xf numFmtId="170" fontId="4" fillId="0" borderId="0" xfId="0" applyNumberFormat="1" applyFont="1" applyFill="1" applyBorder="1" applyAlignment="1">
      <alignment horizontal="right" vertical="center" wrapText="1"/>
    </xf>
    <xf numFmtId="2" fontId="4" fillId="0" borderId="0" xfId="0" applyNumberFormat="1" applyFont="1" applyFill="1" applyBorder="1" applyAlignment="1">
      <alignment horizontal="right" vertical="center" wrapText="1"/>
    </xf>
    <xf numFmtId="0" fontId="0" fillId="0" borderId="0" xfId="0" applyAlignment="1">
      <alignment wrapText="1"/>
    </xf>
    <xf numFmtId="170" fontId="2" fillId="35" borderId="0" xfId="0" applyNumberFormat="1" applyFont="1" applyFill="1"/>
    <xf numFmtId="0" fontId="0" fillId="35" borderId="0" xfId="0" applyFill="1"/>
    <xf numFmtId="0" fontId="0" fillId="0" borderId="0" xfId="0" applyAlignment="1">
      <alignment horizontal="left" vertical="center"/>
    </xf>
    <xf numFmtId="0" fontId="0" fillId="0" borderId="0" xfId="0" applyFill="1" applyAlignment="1">
      <alignment horizontal="left" vertical="center"/>
    </xf>
    <xf numFmtId="171" fontId="2" fillId="36" borderId="0" xfId="0" applyNumberFormat="1" applyFont="1" applyFill="1"/>
    <xf numFmtId="171" fontId="2" fillId="36" borderId="0" xfId="0" applyNumberFormat="1" applyFont="1" applyFill="1" applyAlignment="1">
      <alignment wrapText="1"/>
    </xf>
    <xf numFmtId="171" fontId="2" fillId="37" borderId="0" xfId="0" applyNumberFormat="1" applyFont="1" applyFill="1"/>
    <xf numFmtId="171" fontId="8" fillId="38" borderId="0" xfId="0" applyNumberFormat="1" applyFont="1" applyFill="1"/>
    <xf numFmtId="0" fontId="0" fillId="36" borderId="0" xfId="0" applyFill="1" applyAlignment="1">
      <alignment vertical="top" wrapText="1"/>
    </xf>
    <xf numFmtId="0" fontId="0" fillId="37" borderId="0" xfId="0" applyFill="1" applyAlignment="1">
      <alignment vertical="top" wrapText="1"/>
    </xf>
    <xf numFmtId="0" fontId="6" fillId="38" borderId="0" xfId="0" applyFont="1" applyFill="1" applyAlignment="1">
      <alignment vertical="top" wrapText="1"/>
    </xf>
    <xf numFmtId="6" fontId="2" fillId="34" borderId="0" xfId="0" applyNumberFormat="1" applyFont="1" applyFill="1"/>
    <xf numFmtId="171" fontId="2" fillId="34" borderId="0" xfId="0" applyNumberFormat="1" applyFont="1" applyFill="1"/>
    <xf numFmtId="0" fontId="0" fillId="0" borderId="0" xfId="0" applyAlignment="1">
      <alignment vertical="top"/>
    </xf>
    <xf numFmtId="0" fontId="0" fillId="34" borderId="0" xfId="0" applyFill="1" applyAlignment="1">
      <alignment vertical="top" wrapText="1"/>
    </xf>
    <xf numFmtId="0" fontId="0" fillId="0" borderId="0" xfId="0" applyAlignment="1">
      <alignment vertical="center"/>
    </xf>
    <xf numFmtId="0" fontId="35" fillId="0" borderId="0" xfId="48" applyFill="1"/>
    <xf numFmtId="0" fontId="2" fillId="8" borderId="0" xfId="0" applyFont="1" applyFill="1" applyAlignment="1">
      <alignment vertical="center" wrapText="1"/>
    </xf>
    <xf numFmtId="0" fontId="2" fillId="8" borderId="0" xfId="0" applyFont="1" applyFill="1" applyAlignment="1">
      <alignment horizontal="center" vertical="center" wrapText="1"/>
    </xf>
    <xf numFmtId="1" fontId="0" fillId="0" borderId="0" xfId="0" applyNumberFormat="1" applyFill="1"/>
    <xf numFmtId="1" fontId="2" fillId="0" borderId="0" xfId="0" applyNumberFormat="1" applyFont="1"/>
    <xf numFmtId="164" fontId="0" fillId="0" borderId="0" xfId="1" applyNumberFormat="1" applyFont="1" applyAlignment="1">
      <alignment horizontal="center"/>
    </xf>
    <xf numFmtId="171" fontId="0" fillId="0" borderId="0" xfId="0" applyNumberFormat="1" applyAlignment="1">
      <alignment wrapText="1"/>
    </xf>
    <xf numFmtId="171" fontId="2" fillId="0" borderId="0" xfId="0" applyNumberFormat="1" applyFont="1" applyFill="1"/>
    <xf numFmtId="0" fontId="0" fillId="0" borderId="0" xfId="0" applyFill="1" applyAlignment="1">
      <alignment horizontal="left" vertical="center" wrapText="1"/>
    </xf>
    <xf numFmtId="171" fontId="2" fillId="39" borderId="0" xfId="0" applyNumberFormat="1" applyFont="1" applyFill="1"/>
    <xf numFmtId="0" fontId="0" fillId="39" borderId="0" xfId="0" applyFill="1" applyAlignment="1">
      <alignment vertical="top" wrapText="1"/>
    </xf>
    <xf numFmtId="0" fontId="0" fillId="0" borderId="0" xfId="0" applyAlignment="1">
      <alignment horizontal="center"/>
    </xf>
    <xf numFmtId="49" fontId="35" fillId="40" borderId="40" xfId="5" applyNumberFormat="1" applyFont="1" applyFill="1" applyBorder="1" applyAlignment="1" applyProtection="1">
      <alignment horizontal="left"/>
      <protection locked="0"/>
    </xf>
    <xf numFmtId="49" fontId="35" fillId="40" borderId="40" xfId="5" applyNumberFormat="1" applyFont="1" applyFill="1" applyBorder="1" applyAlignment="1" applyProtection="1">
      <alignment horizontal="right" vertical="center"/>
      <protection locked="0"/>
    </xf>
    <xf numFmtId="49" fontId="38" fillId="40" borderId="42" xfId="5" applyNumberFormat="1" applyFont="1" applyFill="1" applyBorder="1" applyAlignment="1" applyProtection="1">
      <alignment horizontal="left" wrapText="1"/>
      <protection locked="0"/>
    </xf>
    <xf numFmtId="49" fontId="38" fillId="40" borderId="42" xfId="5" applyNumberFormat="1" applyFont="1" applyFill="1" applyBorder="1" applyAlignment="1" applyProtection="1">
      <alignment horizontal="left"/>
      <protection locked="0"/>
    </xf>
    <xf numFmtId="49" fontId="35" fillId="40" borderId="42" xfId="5" applyNumberFormat="1" applyFont="1" applyFill="1" applyBorder="1" applyAlignment="1" applyProtection="1">
      <alignment horizontal="right" vertical="center"/>
      <protection locked="0"/>
    </xf>
    <xf numFmtId="3" fontId="38" fillId="40" borderId="42" xfId="50" applyNumberFormat="1" applyFont="1" applyFill="1" applyBorder="1" applyAlignment="1" applyProtection="1">
      <alignment horizontal="right" wrapText="1"/>
      <protection locked="0"/>
    </xf>
    <xf numFmtId="3" fontId="35" fillId="40" borderId="0" xfId="5" applyNumberFormat="1" applyFont="1" applyFill="1" applyAlignment="1" applyProtection="1">
      <alignment horizontal="left"/>
      <protection locked="0"/>
    </xf>
    <xf numFmtId="49" fontId="35" fillId="40" borderId="0" xfId="5" applyNumberFormat="1" applyFont="1" applyFill="1" applyAlignment="1" applyProtection="1">
      <alignment horizontal="left" indent="1"/>
      <protection locked="0"/>
    </xf>
    <xf numFmtId="166" fontId="35" fillId="40" borderId="0" xfId="51" applyNumberFormat="1" applyFont="1" applyFill="1" applyAlignment="1" applyProtection="1">
      <alignment horizontal="right"/>
      <protection locked="0"/>
    </xf>
    <xf numFmtId="0" fontId="36" fillId="40" borderId="0" xfId="49" applyFont="1" applyFill="1" applyAlignment="1">
      <alignment vertical="center"/>
    </xf>
    <xf numFmtId="164" fontId="35" fillId="40" borderId="0" xfId="1" applyNumberFormat="1" applyFont="1" applyFill="1" applyAlignment="1" applyProtection="1">
      <alignment horizontal="left" indent="1"/>
      <protection locked="0"/>
    </xf>
    <xf numFmtId="164" fontId="35" fillId="40" borderId="0" xfId="1" applyNumberFormat="1" applyFont="1" applyFill="1" applyAlignment="1" applyProtection="1">
      <alignment horizontal="right" indent="1"/>
      <protection locked="0"/>
    </xf>
    <xf numFmtId="164" fontId="35" fillId="40" borderId="0" xfId="1" applyNumberFormat="1" applyFont="1" applyFill="1" applyAlignment="1" applyProtection="1">
      <alignment horizontal="right"/>
      <protection locked="0"/>
    </xf>
    <xf numFmtId="3" fontId="38" fillId="40" borderId="43" xfId="50" applyNumberFormat="1" applyFont="1" applyFill="1" applyBorder="1" applyAlignment="1" applyProtection="1">
      <alignment horizontal="right" wrapText="1"/>
      <protection locked="0"/>
    </xf>
    <xf numFmtId="1" fontId="0" fillId="37" borderId="0" xfId="0" applyNumberFormat="1" applyFill="1"/>
    <xf numFmtId="0" fontId="0" fillId="0" borderId="16" xfId="0" applyBorder="1"/>
    <xf numFmtId="0" fontId="0" fillId="0" borderId="16" xfId="0" applyBorder="1" applyAlignment="1">
      <alignment wrapText="1"/>
    </xf>
    <xf numFmtId="164" fontId="0" fillId="0" borderId="0" xfId="1" applyNumberFormat="1" applyFont="1" applyAlignment="1">
      <alignment horizontal="right"/>
    </xf>
    <xf numFmtId="0" fontId="0" fillId="0" borderId="16" xfId="0" applyBorder="1" applyAlignment="1">
      <alignment horizontal="center"/>
    </xf>
    <xf numFmtId="0" fontId="0" fillId="0" borderId="16" xfId="0" applyFill="1" applyBorder="1" applyAlignment="1">
      <alignment horizontal="center"/>
    </xf>
    <xf numFmtId="9" fontId="0" fillId="0" borderId="0" xfId="2" applyFont="1" applyAlignment="1">
      <alignment horizontal="right"/>
    </xf>
    <xf numFmtId="10" fontId="2" fillId="0" borderId="0" xfId="0" applyNumberFormat="1" applyFont="1"/>
    <xf numFmtId="164" fontId="5" fillId="0" borderId="0" xfId="1" applyNumberFormat="1" applyFont="1" applyAlignment="1">
      <alignment horizontal="left" wrapText="1"/>
    </xf>
    <xf numFmtId="9" fontId="0" fillId="0" borderId="0" xfId="2" applyFont="1" applyFill="1" applyAlignment="1">
      <alignment horizontal="right"/>
    </xf>
    <xf numFmtId="0" fontId="2" fillId="7" borderId="0" xfId="0" applyFont="1" applyFill="1" applyBorder="1" applyAlignment="1">
      <alignment horizontal="left" vertical="center" wrapText="1"/>
    </xf>
    <xf numFmtId="0" fontId="0" fillId="8" borderId="0" xfId="0" applyFill="1" applyAlignment="1">
      <alignment horizontal="center" vertical="center"/>
    </xf>
    <xf numFmtId="0" fontId="0" fillId="0" borderId="0" xfId="0" applyAlignment="1">
      <alignment horizontal="center"/>
    </xf>
    <xf numFmtId="0" fontId="2" fillId="41" borderId="0" xfId="0" applyFont="1" applyFill="1"/>
    <xf numFmtId="0" fontId="0" fillId="41" borderId="0" xfId="0" applyFill="1"/>
    <xf numFmtId="1" fontId="0" fillId="0" borderId="0" xfId="0" applyNumberFormat="1" applyAlignment="1">
      <alignment horizontal="center"/>
    </xf>
    <xf numFmtId="164" fontId="0" fillId="0" borderId="0" xfId="0" applyNumberFormat="1" applyAlignment="1">
      <alignment horizontal="center"/>
    </xf>
    <xf numFmtId="1" fontId="0" fillId="0" borderId="0" xfId="0" applyNumberFormat="1" applyAlignment="1">
      <alignment horizontal="right"/>
    </xf>
    <xf numFmtId="0" fontId="15" fillId="32" borderId="14" xfId="0" applyFont="1" applyFill="1" applyBorder="1"/>
    <xf numFmtId="0" fontId="0" fillId="32" borderId="0" xfId="0" applyFill="1"/>
    <xf numFmtId="3" fontId="0" fillId="0" borderId="19" xfId="0" applyNumberFormat="1" applyFill="1" applyBorder="1"/>
    <xf numFmtId="2" fontId="0" fillId="0" borderId="20" xfId="0" applyNumberFormat="1" applyFill="1" applyBorder="1"/>
    <xf numFmtId="164" fontId="2" fillId="0" borderId="0" xfId="0" applyNumberFormat="1" applyFont="1" applyAlignment="1">
      <alignment horizontal="right"/>
    </xf>
    <xf numFmtId="0" fontId="9" fillId="0" borderId="0" xfId="0" applyFont="1" applyFill="1" applyBorder="1"/>
    <xf numFmtId="0" fontId="0" fillId="0" borderId="14" xfId="0" applyFill="1" applyBorder="1"/>
    <xf numFmtId="0" fontId="15" fillId="0" borderId="18" xfId="0" applyFont="1" applyFill="1" applyBorder="1"/>
    <xf numFmtId="0" fontId="15" fillId="0" borderId="20" xfId="0" applyFont="1" applyFill="1" applyBorder="1"/>
    <xf numFmtId="3" fontId="0" fillId="0" borderId="18" xfId="0" applyNumberFormat="1" applyFill="1" applyBorder="1"/>
    <xf numFmtId="166" fontId="0" fillId="2" borderId="0" xfId="0" applyNumberFormat="1" applyFill="1"/>
    <xf numFmtId="164" fontId="0" fillId="2" borderId="0" xfId="1" applyNumberFormat="1" applyFont="1" applyFill="1"/>
    <xf numFmtId="9" fontId="0" fillId="2" borderId="0" xfId="2" applyFont="1" applyFill="1"/>
    <xf numFmtId="166" fontId="0" fillId="0" borderId="0" xfId="0" applyNumberFormat="1" applyFont="1"/>
    <xf numFmtId="164" fontId="0" fillId="0" borderId="0" xfId="0" applyNumberFormat="1" applyFont="1"/>
    <xf numFmtId="0" fontId="0" fillId="8" borderId="0" xfId="0" applyFont="1" applyFill="1" applyBorder="1"/>
    <xf numFmtId="164" fontId="8" fillId="8" borderId="0" xfId="1" applyNumberFormat="1" applyFont="1" applyFill="1" applyBorder="1"/>
    <xf numFmtId="175" fontId="0" fillId="0" borderId="0" xfId="0" applyNumberFormat="1" applyBorder="1"/>
    <xf numFmtId="9" fontId="0" fillId="0" borderId="0" xfId="0" applyNumberFormat="1" applyFill="1" applyBorder="1"/>
    <xf numFmtId="0" fontId="2" fillId="7" borderId="0" xfId="0" applyFont="1" applyFill="1" applyBorder="1" applyAlignment="1">
      <alignment horizontal="center" vertical="center" wrapText="1"/>
    </xf>
    <xf numFmtId="0" fontId="2" fillId="7" borderId="0" xfId="0" applyFont="1" applyFill="1" applyBorder="1" applyAlignment="1">
      <alignment horizontal="left" vertical="center"/>
    </xf>
    <xf numFmtId="0" fontId="8" fillId="8" borderId="0" xfId="0" applyFont="1" applyFill="1" applyBorder="1" applyAlignment="1">
      <alignment horizontal="center" vertical="center" wrapText="1"/>
    </xf>
    <xf numFmtId="0" fontId="2" fillId="7" borderId="0" xfId="0" applyFont="1" applyFill="1" applyBorder="1" applyAlignment="1">
      <alignment horizontal="left" vertical="center" wrapText="1"/>
    </xf>
    <xf numFmtId="0" fontId="2" fillId="8" borderId="0" xfId="0" applyFont="1" applyFill="1" applyBorder="1" applyAlignment="1">
      <alignment horizontal="center" vertical="center" wrapText="1"/>
    </xf>
    <xf numFmtId="0" fontId="15" fillId="0" borderId="15" xfId="0" applyFont="1" applyBorder="1" applyAlignment="1"/>
    <xf numFmtId="0" fontId="0" fillId="0" borderId="17" xfId="0" applyBorder="1" applyAlignment="1"/>
    <xf numFmtId="0" fontId="15" fillId="0" borderId="15" xfId="0" applyFont="1" applyFill="1" applyBorder="1" applyAlignment="1"/>
    <xf numFmtId="0" fontId="0" fillId="0" borderId="17" xfId="0" applyFill="1" applyBorder="1" applyAlignment="1"/>
    <xf numFmtId="0" fontId="15" fillId="0" borderId="15" xfId="0" applyFont="1" applyBorder="1" applyAlignment="1">
      <alignment vertical="center"/>
    </xf>
    <xf numFmtId="0" fontId="0" fillId="0" borderId="24" xfId="0" applyBorder="1" applyAlignment="1">
      <alignment vertical="center"/>
    </xf>
    <xf numFmtId="0" fontId="0" fillId="0" borderId="17" xfId="0" applyBorder="1" applyAlignment="1">
      <alignment vertical="center"/>
    </xf>
    <xf numFmtId="0" fontId="0" fillId="0" borderId="0" xfId="0" applyAlignment="1">
      <alignment horizontal="left" vertical="center"/>
    </xf>
    <xf numFmtId="171" fontId="0" fillId="0" borderId="0" xfId="0" applyNumberFormat="1" applyAlignment="1">
      <alignment vertical="center"/>
    </xf>
    <xf numFmtId="0" fontId="0" fillId="0" borderId="0" xfId="0" applyAlignment="1">
      <alignment vertical="center"/>
    </xf>
    <xf numFmtId="0" fontId="0" fillId="8" borderId="0" xfId="0" applyFill="1" applyAlignment="1">
      <alignment horizontal="center" vertical="center" wrapText="1"/>
    </xf>
    <xf numFmtId="171" fontId="0" fillId="0" borderId="0" xfId="0" applyNumberFormat="1" applyFill="1" applyAlignment="1">
      <alignment horizontal="right" vertical="center" wrapText="1"/>
    </xf>
    <xf numFmtId="171" fontId="0" fillId="0" borderId="0" xfId="0" applyNumberFormat="1" applyAlignment="1">
      <alignment horizontal="right" vertical="center" wrapText="1"/>
    </xf>
    <xf numFmtId="171" fontId="0" fillId="0" borderId="0" xfId="0" applyNumberFormat="1" applyAlignment="1">
      <alignment horizontal="right" vertical="center"/>
    </xf>
    <xf numFmtId="0" fontId="0" fillId="0" borderId="0" xfId="0" applyAlignment="1"/>
    <xf numFmtId="0" fontId="0" fillId="0" borderId="0" xfId="0" applyAlignment="1">
      <alignment wrapText="1"/>
    </xf>
    <xf numFmtId="0" fontId="0" fillId="8" borderId="0" xfId="0" applyFill="1" applyAlignment="1">
      <alignment horizontal="center" vertical="center"/>
    </xf>
    <xf numFmtId="0" fontId="0" fillId="0" borderId="0" xfId="0" applyAlignment="1">
      <alignment vertical="center" wrapText="1"/>
    </xf>
    <xf numFmtId="0" fontId="0" fillId="0" borderId="0" xfId="0" applyAlignment="1">
      <alignment horizontal="center"/>
    </xf>
    <xf numFmtId="0" fontId="0" fillId="3" borderId="0" xfId="0" applyFill="1" applyAlignment="1">
      <alignment horizontal="center" vertical="center" wrapText="1"/>
    </xf>
    <xf numFmtId="0" fontId="2" fillId="8" borderId="0" xfId="0" applyFont="1" applyFill="1" applyAlignment="1">
      <alignment horizontal="center" vertical="center" wrapText="1"/>
    </xf>
    <xf numFmtId="49" fontId="38" fillId="40" borderId="41" xfId="5" applyNumberFormat="1" applyFont="1" applyFill="1" applyBorder="1" applyAlignment="1" applyProtection="1">
      <alignment horizontal="center" vertical="center"/>
      <protection locked="0"/>
    </xf>
    <xf numFmtId="0" fontId="34" fillId="0" borderId="36" xfId="0" applyFont="1" applyFill="1" applyBorder="1" applyAlignment="1">
      <alignment wrapText="1"/>
    </xf>
    <xf numFmtId="0" fontId="34" fillId="0" borderId="38" xfId="0" applyFont="1" applyFill="1" applyBorder="1" applyAlignment="1">
      <alignment wrapText="1"/>
    </xf>
    <xf numFmtId="0" fontId="34" fillId="0" borderId="37" xfId="0" applyFont="1" applyFill="1" applyBorder="1" applyAlignment="1">
      <alignment wrapText="1"/>
    </xf>
    <xf numFmtId="0" fontId="33" fillId="8" borderId="35" xfId="0" applyFont="1" applyFill="1" applyBorder="1" applyAlignment="1">
      <alignment horizontal="center" wrapText="1"/>
    </xf>
    <xf numFmtId="0" fontId="33" fillId="8" borderId="39" xfId="0" applyFont="1" applyFill="1" applyBorder="1" applyAlignment="1">
      <alignment horizontal="center" wrapText="1"/>
    </xf>
    <xf numFmtId="0" fontId="33" fillId="8" borderId="36" xfId="0" applyFont="1" applyFill="1" applyBorder="1" applyAlignment="1">
      <alignment wrapText="1"/>
    </xf>
    <xf numFmtId="0" fontId="33" fillId="8" borderId="37" xfId="0" applyFont="1" applyFill="1" applyBorder="1" applyAlignment="1">
      <alignment wrapText="1"/>
    </xf>
    <xf numFmtId="0" fontId="33" fillId="8" borderId="38" xfId="0" applyFont="1" applyFill="1" applyBorder="1" applyAlignment="1">
      <alignment wrapText="1"/>
    </xf>
    <xf numFmtId="3" fontId="0" fillId="0" borderId="0" xfId="0" applyNumberFormat="1"/>
    <xf numFmtId="9" fontId="0" fillId="6" borderId="0" xfId="0" applyNumberFormat="1" applyFill="1"/>
    <xf numFmtId="0" fontId="0" fillId="9" borderId="0" xfId="0" applyFill="1" applyBorder="1"/>
    <xf numFmtId="0" fontId="2" fillId="9" borderId="0" xfId="0" applyFont="1" applyFill="1" applyBorder="1" applyAlignment="1">
      <alignment horizontal="right"/>
    </xf>
    <xf numFmtId="0" fontId="2" fillId="9" borderId="0" xfId="0" applyFont="1" applyFill="1" applyBorder="1" applyAlignment="1">
      <alignment horizontal="center" wrapText="1"/>
    </xf>
    <xf numFmtId="0" fontId="2" fillId="9" borderId="0" xfId="0" applyFont="1" applyFill="1" applyBorder="1" applyAlignment="1">
      <alignment horizontal="left" vertical="center" wrapText="1"/>
    </xf>
    <xf numFmtId="0" fontId="2" fillId="9" borderId="0" xfId="0" applyFont="1" applyFill="1" applyBorder="1" applyAlignment="1">
      <alignment horizontal="left" vertical="center"/>
    </xf>
    <xf numFmtId="0" fontId="2" fillId="9" borderId="0" xfId="0" applyFont="1" applyFill="1" applyBorder="1" applyAlignment="1">
      <alignment horizontal="center" vertical="center"/>
    </xf>
    <xf numFmtId="0" fontId="2" fillId="9" borderId="0" xfId="0" applyFont="1" applyFill="1" applyBorder="1" applyAlignment="1">
      <alignment horizontal="center"/>
    </xf>
    <xf numFmtId="0" fontId="0" fillId="9" borderId="0" xfId="0" applyFont="1" applyFill="1" applyBorder="1" applyAlignment="1">
      <alignment horizontal="left" vertical="center"/>
    </xf>
    <xf numFmtId="0" fontId="8" fillId="9" borderId="0" xfId="0" applyFont="1" applyFill="1" applyBorder="1" applyAlignment="1">
      <alignment horizontal="center" vertical="center" wrapText="1"/>
    </xf>
    <xf numFmtId="0" fontId="8" fillId="9" borderId="0" xfId="0" applyFont="1" applyFill="1" applyBorder="1"/>
    <xf numFmtId="0" fontId="6" fillId="9" borderId="0" xfId="0" applyFont="1" applyFill="1" applyBorder="1"/>
    <xf numFmtId="0" fontId="8" fillId="9" borderId="0" xfId="0" applyFont="1" applyFill="1" applyBorder="1" applyAlignment="1">
      <alignment horizontal="right"/>
    </xf>
    <xf numFmtId="164" fontId="8" fillId="9" borderId="0" xfId="1" applyNumberFormat="1" applyFont="1" applyFill="1" applyBorder="1"/>
    <xf numFmtId="164" fontId="6" fillId="9" borderId="0" xfId="1" applyNumberFormat="1" applyFont="1" applyFill="1" applyBorder="1"/>
    <xf numFmtId="0" fontId="6" fillId="9" borderId="0" xfId="0" applyFont="1" applyFill="1" applyBorder="1" applyAlignment="1">
      <alignment horizontal="right"/>
    </xf>
    <xf numFmtId="0" fontId="2" fillId="9" borderId="0" xfId="0" applyFont="1" applyFill="1" applyBorder="1"/>
    <xf numFmtId="175" fontId="2" fillId="9" borderId="0" xfId="0" applyNumberFormat="1" applyFont="1" applyFill="1" applyBorder="1"/>
    <xf numFmtId="164" fontId="0" fillId="9" borderId="0" xfId="1" applyNumberFormat="1" applyFont="1" applyFill="1" applyBorder="1"/>
    <xf numFmtId="0" fontId="7" fillId="9" borderId="0" xfId="0" applyFont="1" applyFill="1" applyBorder="1"/>
    <xf numFmtId="9" fontId="0" fillId="0" borderId="0" xfId="2" applyFont="1" applyBorder="1"/>
    <xf numFmtId="8" fontId="0" fillId="0" borderId="0" xfId="0" applyNumberFormat="1"/>
  </cellXfs>
  <cellStyles count="52">
    <cellStyle name="20% - Accent1 2" xfId="7" xr:uid="{00000000-0005-0000-0000-000000000000}"/>
    <cellStyle name="20% - Accent2 2" xfId="8" xr:uid="{00000000-0005-0000-0000-000001000000}"/>
    <cellStyle name="20% - Accent3 2" xfId="9" xr:uid="{00000000-0005-0000-0000-000002000000}"/>
    <cellStyle name="20% - Accent4 2" xfId="10" xr:uid="{00000000-0005-0000-0000-000003000000}"/>
    <cellStyle name="20% - Accent5 2" xfId="11" xr:uid="{00000000-0005-0000-0000-000004000000}"/>
    <cellStyle name="20% - Accent6 2" xfId="12" xr:uid="{00000000-0005-0000-0000-000005000000}"/>
    <cellStyle name="40% - Accent1 2" xfId="13" xr:uid="{00000000-0005-0000-0000-000006000000}"/>
    <cellStyle name="40% - Accent2 2" xfId="14" xr:uid="{00000000-0005-0000-0000-000007000000}"/>
    <cellStyle name="40% - Accent3 2" xfId="15" xr:uid="{00000000-0005-0000-0000-000008000000}"/>
    <cellStyle name="40% - Accent4 2" xfId="16" xr:uid="{00000000-0005-0000-0000-000009000000}"/>
    <cellStyle name="40% - Accent5 2" xfId="17" xr:uid="{00000000-0005-0000-0000-00000A000000}"/>
    <cellStyle name="40% - Accent6 2" xfId="18" xr:uid="{00000000-0005-0000-0000-00000B000000}"/>
    <cellStyle name="60% - Accent1 2" xfId="19" xr:uid="{00000000-0005-0000-0000-00000C000000}"/>
    <cellStyle name="60% - Accent2 2" xfId="20" xr:uid="{00000000-0005-0000-0000-00000D000000}"/>
    <cellStyle name="60% - Accent3 2" xfId="21" xr:uid="{00000000-0005-0000-0000-00000E000000}"/>
    <cellStyle name="60% - Accent4 2" xfId="22" xr:uid="{00000000-0005-0000-0000-00000F000000}"/>
    <cellStyle name="60% - Accent5 2" xfId="23" xr:uid="{00000000-0005-0000-0000-000010000000}"/>
    <cellStyle name="60% - Accent6 2" xfId="24" xr:uid="{00000000-0005-0000-0000-000011000000}"/>
    <cellStyle name="Accent1 2" xfId="25" xr:uid="{00000000-0005-0000-0000-000012000000}"/>
    <cellStyle name="Accent2 2" xfId="26" xr:uid="{00000000-0005-0000-0000-000013000000}"/>
    <cellStyle name="Accent3 2" xfId="27" xr:uid="{00000000-0005-0000-0000-000014000000}"/>
    <cellStyle name="Accent4 2" xfId="28" xr:uid="{00000000-0005-0000-0000-000015000000}"/>
    <cellStyle name="Accent5 2" xfId="29" xr:uid="{00000000-0005-0000-0000-000016000000}"/>
    <cellStyle name="Accent6 2" xfId="30" xr:uid="{00000000-0005-0000-0000-000017000000}"/>
    <cellStyle name="Bad 2" xfId="31" xr:uid="{00000000-0005-0000-0000-000018000000}"/>
    <cellStyle name="Calculation 2" xfId="32" xr:uid="{00000000-0005-0000-0000-000019000000}"/>
    <cellStyle name="Check Cell 2" xfId="33" xr:uid="{00000000-0005-0000-0000-00001A000000}"/>
    <cellStyle name="Comma" xfId="1" builtinId="3"/>
    <cellStyle name="Comma 2" xfId="50" xr:uid="{46F8F9E4-D9CE-459A-857B-564B791FFE5E}"/>
    <cellStyle name="Currency" xfId="4" builtinId="4"/>
    <cellStyle name="Explanatory Text 2" xfId="34" xr:uid="{00000000-0005-0000-0000-00001D000000}"/>
    <cellStyle name="Good 2" xfId="35" xr:uid="{00000000-0005-0000-0000-00001E000000}"/>
    <cellStyle name="Heading 1 2" xfId="36" xr:uid="{00000000-0005-0000-0000-00001F000000}"/>
    <cellStyle name="Heading 2 2" xfId="37" xr:uid="{00000000-0005-0000-0000-000020000000}"/>
    <cellStyle name="Heading 3 2" xfId="38" xr:uid="{00000000-0005-0000-0000-000021000000}"/>
    <cellStyle name="Heading 4 2" xfId="39" xr:uid="{00000000-0005-0000-0000-000022000000}"/>
    <cellStyle name="Hyperlink" xfId="3" builtinId="8"/>
    <cellStyle name="Hyperlink 2" xfId="49" xr:uid="{1EADF51E-47F1-4E15-A922-57D89B7C8AFD}"/>
    <cellStyle name="Input 2" xfId="40" xr:uid="{00000000-0005-0000-0000-000024000000}"/>
    <cellStyle name="Linked Cell 2" xfId="41" xr:uid="{00000000-0005-0000-0000-000025000000}"/>
    <cellStyle name="Neutral 2" xfId="42" xr:uid="{00000000-0005-0000-0000-000026000000}"/>
    <cellStyle name="Normal" xfId="0" builtinId="0"/>
    <cellStyle name="Normal 2" xfId="5" xr:uid="{00000000-0005-0000-0000-000028000000}"/>
    <cellStyle name="Normal 3" xfId="6" xr:uid="{00000000-0005-0000-0000-000029000000}"/>
    <cellStyle name="Normal 4" xfId="48" xr:uid="{23891888-7D7B-4A8A-8F02-9A4C80E48A4A}"/>
    <cellStyle name="Note 2" xfId="43" xr:uid="{00000000-0005-0000-0000-00002A000000}"/>
    <cellStyle name="Output 2" xfId="44" xr:uid="{00000000-0005-0000-0000-00002B000000}"/>
    <cellStyle name="Percent" xfId="2" builtinId="5"/>
    <cellStyle name="Percent 2" xfId="51" xr:uid="{30BE0CB1-B4BE-49AB-9FA2-6930EA8B8E76}"/>
    <cellStyle name="Title 2" xfId="45" xr:uid="{00000000-0005-0000-0000-00002D000000}"/>
    <cellStyle name="Total 2" xfId="46" xr:uid="{00000000-0005-0000-0000-00002E000000}"/>
    <cellStyle name="Warning Text 2"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collections/walking-and-cycling-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ebarchive.nationalarchives.gov.uk/+/http:/www.dft.gov.uk/pgr/regional/smart-integrated-ticketing/pdf/smart-ticketing.pdf" TargetMode="External"/><Relationship Id="rId2" Type="http://schemas.openxmlformats.org/officeDocument/2006/relationships/hyperlink" Target="https://www.gov.uk/government/uploads/system/uploads/attachment_data/file/560588/bus0304.ods" TargetMode="External"/><Relationship Id="rId1" Type="http://schemas.openxmlformats.org/officeDocument/2006/relationships/hyperlink" Target="http://webarchive.nationalarchives.gov.uk/+/http:/www.dft.gov.uk/pgr/regional/smart-integrated-ticketing/pdf/smart-ticketing.pdf" TargetMode="External"/><Relationship Id="rId6" Type="http://schemas.openxmlformats.org/officeDocument/2006/relationships/printerSettings" Target="../printerSettings/printerSettings9.bin"/><Relationship Id="rId5" Type="http://schemas.openxmlformats.org/officeDocument/2006/relationships/hyperlink" Target="https://trl.co.uk/sites/default/files/TRL409.pdf" TargetMode="External"/><Relationship Id="rId4" Type="http://schemas.openxmlformats.org/officeDocument/2006/relationships/hyperlink" Target="http://www.its.leeds.ac.uk/projects/konsult/private/level2/instruments/instrument014/l2_014c.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trl.co.uk/sites/default/files/TRL593%20-%20The%20Demand%20for%20Public%20Transport.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trl.co.uk/sites/default/files/TRL409.pdf" TargetMode="External"/><Relationship Id="rId1" Type="http://schemas.openxmlformats.org/officeDocument/2006/relationships/hyperlink" Target="http://www.its.leeds.ac.uk/projects/konsult/private/level2/instruments/instrument014/l2_014c.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47"/>
  <sheetViews>
    <sheetView tabSelected="1" zoomScale="85" zoomScaleNormal="85" workbookViewId="0">
      <selection activeCell="C4" sqref="C4"/>
    </sheetView>
  </sheetViews>
  <sheetFormatPr defaultRowHeight="14.4" x14ac:dyDescent="0.3"/>
  <cols>
    <col min="1" max="1" width="16.88671875" customWidth="1"/>
    <col min="3" max="3" width="71" customWidth="1"/>
    <col min="4" max="4" width="8.5546875" bestFit="1" customWidth="1"/>
    <col min="5" max="5" width="17.6640625" customWidth="1"/>
    <col min="6" max="6" width="9.77734375" bestFit="1" customWidth="1"/>
    <col min="7" max="7" width="15" customWidth="1"/>
  </cols>
  <sheetData>
    <row r="1" spans="1:11" ht="21" x14ac:dyDescent="0.4">
      <c r="A1" s="70" t="s">
        <v>187</v>
      </c>
    </row>
    <row r="2" spans="1:11" ht="15.6" x14ac:dyDescent="0.3">
      <c r="A2" s="83">
        <v>2019</v>
      </c>
      <c r="B2" s="83" t="s">
        <v>209</v>
      </c>
      <c r="C2" s="30"/>
      <c r="D2" s="30"/>
      <c r="E2" s="30"/>
    </row>
    <row r="3" spans="1:11" ht="15.6" x14ac:dyDescent="0.3">
      <c r="A3" s="83">
        <v>2038</v>
      </c>
      <c r="B3" s="83" t="s">
        <v>210</v>
      </c>
      <c r="C3" s="30"/>
      <c r="D3" s="30"/>
      <c r="E3" s="30"/>
    </row>
    <row r="4" spans="1:11" ht="28.8" x14ac:dyDescent="0.3">
      <c r="A4" s="284"/>
      <c r="B4" s="285"/>
      <c r="C4" s="285"/>
      <c r="D4" s="285"/>
      <c r="E4" s="286" t="s">
        <v>188</v>
      </c>
      <c r="F4" s="284"/>
      <c r="G4" s="72" t="s">
        <v>718</v>
      </c>
      <c r="H4" s="72"/>
      <c r="I4" s="72"/>
      <c r="J4" s="72"/>
      <c r="K4" s="72"/>
    </row>
    <row r="5" spans="1:11" x14ac:dyDescent="0.3">
      <c r="A5" s="287"/>
      <c r="B5" s="288" t="s">
        <v>189</v>
      </c>
      <c r="C5" s="288"/>
      <c r="D5" s="289" t="s">
        <v>190</v>
      </c>
      <c r="E5" s="290"/>
      <c r="F5" s="284"/>
      <c r="G5" s="72"/>
      <c r="H5" s="72"/>
      <c r="I5" s="72"/>
      <c r="J5" s="72"/>
      <c r="K5" s="72"/>
    </row>
    <row r="6" spans="1:11" ht="14.4" customHeight="1" x14ac:dyDescent="0.3">
      <c r="A6" s="247" t="s">
        <v>697</v>
      </c>
      <c r="B6" s="291" t="s">
        <v>212</v>
      </c>
      <c r="C6" s="288"/>
      <c r="D6" s="88" t="s">
        <v>211</v>
      </c>
      <c r="E6" s="74">
        <f>'Bus+Tram Pax value of time'!B46</f>
        <v>530696.13727954158</v>
      </c>
      <c r="F6" s="72"/>
      <c r="G6" s="72"/>
      <c r="H6" s="72"/>
      <c r="I6" s="72"/>
      <c r="J6" s="72"/>
      <c r="K6" s="72"/>
    </row>
    <row r="7" spans="1:11" x14ac:dyDescent="0.3">
      <c r="A7" s="247"/>
      <c r="B7" s="87" t="s">
        <v>214</v>
      </c>
      <c r="C7" s="87"/>
      <c r="D7" s="88" t="s">
        <v>191</v>
      </c>
      <c r="E7" s="89">
        <f>'Bus+Tram Pax value of time'!E46</f>
        <v>2863955.7065236755</v>
      </c>
      <c r="F7" s="72"/>
      <c r="G7" s="72"/>
      <c r="H7" s="72"/>
      <c r="I7" s="72"/>
      <c r="J7" s="72"/>
      <c r="K7" s="72"/>
    </row>
    <row r="8" spans="1:11" x14ac:dyDescent="0.3">
      <c r="A8" s="247"/>
      <c r="B8" s="87" t="s">
        <v>213</v>
      </c>
      <c r="C8" s="87"/>
      <c r="D8" s="88" t="s">
        <v>211</v>
      </c>
      <c r="E8" s="76">
        <f>'Bus+Tram Pax value of time'!B85</f>
        <v>25512.25</v>
      </c>
      <c r="F8" s="72"/>
      <c r="G8" s="72"/>
      <c r="H8" s="72"/>
      <c r="I8" s="72"/>
      <c r="J8" s="72"/>
      <c r="K8" s="72"/>
    </row>
    <row r="9" spans="1:11" x14ac:dyDescent="0.3">
      <c r="A9" s="247"/>
      <c r="B9" s="87" t="s">
        <v>214</v>
      </c>
      <c r="C9" s="87"/>
      <c r="D9" s="88" t="s">
        <v>191</v>
      </c>
      <c r="E9" s="89">
        <f>'Bus+Tram Pax value of time'!E85</f>
        <v>137679.45315809129</v>
      </c>
      <c r="F9" s="72"/>
      <c r="G9" s="72"/>
      <c r="H9" s="72"/>
      <c r="I9" s="72"/>
      <c r="J9" s="72"/>
      <c r="K9" s="72"/>
    </row>
    <row r="10" spans="1:11" x14ac:dyDescent="0.3">
      <c r="A10" s="247"/>
      <c r="B10" s="87" t="s">
        <v>701</v>
      </c>
      <c r="C10" s="87"/>
      <c r="D10" s="88" t="s">
        <v>211</v>
      </c>
      <c r="E10" s="76">
        <f>'Smart TC System JT Savings'!B94</f>
        <v>595265.94549973414</v>
      </c>
      <c r="F10" s="72"/>
      <c r="G10" s="72"/>
      <c r="H10" s="72"/>
      <c r="I10" s="72"/>
      <c r="J10" s="72"/>
      <c r="K10" s="72"/>
    </row>
    <row r="11" spans="1:11" x14ac:dyDescent="0.3">
      <c r="A11" s="247"/>
      <c r="B11" s="87" t="s">
        <v>214</v>
      </c>
      <c r="C11" s="87"/>
      <c r="D11" s="88" t="s">
        <v>191</v>
      </c>
      <c r="E11" s="89">
        <f>'Smart TC System JT Savings'!E94</f>
        <v>4602383.6440000152</v>
      </c>
      <c r="F11" s="72"/>
      <c r="G11" s="72"/>
      <c r="H11" s="72"/>
      <c r="I11" s="72"/>
      <c r="J11" s="72"/>
      <c r="K11" s="72"/>
    </row>
    <row r="12" spans="1:11" x14ac:dyDescent="0.3">
      <c r="A12" s="247"/>
      <c r="B12" s="85" t="s">
        <v>707</v>
      </c>
      <c r="C12" s="85"/>
      <c r="D12" s="86" t="s">
        <v>191</v>
      </c>
      <c r="E12" s="244">
        <f>E7+E9+E11</f>
        <v>7604018.8036817815</v>
      </c>
      <c r="F12" s="72"/>
      <c r="G12" s="303">
        <f>E12/$E$41</f>
        <v>0.35475817574249963</v>
      </c>
      <c r="H12" s="72"/>
      <c r="I12" s="72"/>
      <c r="J12" s="72"/>
      <c r="K12" s="72"/>
    </row>
    <row r="13" spans="1:11" x14ac:dyDescent="0.3">
      <c r="A13" s="287"/>
      <c r="B13" s="87"/>
      <c r="C13" s="87"/>
      <c r="D13" s="88"/>
      <c r="E13" s="87"/>
      <c r="F13" s="71"/>
      <c r="G13" s="71"/>
      <c r="H13" s="72"/>
      <c r="I13" s="72"/>
      <c r="J13" s="72"/>
      <c r="K13" s="72"/>
    </row>
    <row r="14" spans="1:11" x14ac:dyDescent="0.3">
      <c r="A14" s="251" t="s">
        <v>696</v>
      </c>
      <c r="B14" s="75" t="s">
        <v>695</v>
      </c>
      <c r="C14" s="87"/>
      <c r="D14" s="88" t="s">
        <v>193</v>
      </c>
      <c r="E14" s="80">
        <f>'RTI amenity value'!B40</f>
        <v>252545829.75</v>
      </c>
      <c r="F14" s="71"/>
      <c r="G14" s="72"/>
      <c r="H14" s="72"/>
      <c r="I14" s="72"/>
      <c r="J14" s="72"/>
      <c r="K14" s="72"/>
    </row>
    <row r="15" spans="1:11" x14ac:dyDescent="0.3">
      <c r="A15" s="251"/>
      <c r="B15" s="85" t="s">
        <v>708</v>
      </c>
      <c r="C15" s="243"/>
      <c r="D15" s="86" t="s">
        <v>191</v>
      </c>
      <c r="E15" s="84">
        <f>'RTI amenity value'!E40</f>
        <v>6346026.5163655085</v>
      </c>
      <c r="F15" s="71"/>
      <c r="G15" s="303">
        <f>E15/$E$41</f>
        <v>0.29606775683791065</v>
      </c>
      <c r="H15" s="72"/>
      <c r="I15" s="72"/>
      <c r="J15" s="72"/>
      <c r="K15" s="72"/>
    </row>
    <row r="16" spans="1:11" x14ac:dyDescent="0.3">
      <c r="A16" s="292"/>
      <c r="B16" s="293"/>
      <c r="C16" s="294"/>
      <c r="D16" s="295"/>
      <c r="E16" s="296"/>
      <c r="F16" s="71"/>
      <c r="G16" s="72"/>
      <c r="H16" s="72"/>
      <c r="I16" s="72"/>
      <c r="J16" s="72"/>
      <c r="K16" s="72"/>
    </row>
    <row r="17" spans="1:11" x14ac:dyDescent="0.3">
      <c r="A17" s="249" t="s">
        <v>698</v>
      </c>
      <c r="B17" s="294" t="s">
        <v>699</v>
      </c>
      <c r="C17" s="294"/>
      <c r="D17" s="88" t="s">
        <v>193</v>
      </c>
      <c r="E17" s="297">
        <f>'Smart TC System JT Savings'!B54</f>
        <v>372883061.35966194</v>
      </c>
      <c r="F17" s="71"/>
      <c r="G17" s="72"/>
      <c r="H17" s="72"/>
      <c r="I17" s="72"/>
      <c r="J17" s="72"/>
      <c r="K17" s="72"/>
    </row>
    <row r="18" spans="1:11" x14ac:dyDescent="0.3">
      <c r="A18" s="249"/>
      <c r="B18" s="87" t="s">
        <v>700</v>
      </c>
      <c r="C18" s="294"/>
      <c r="D18" s="298" t="s">
        <v>211</v>
      </c>
      <c r="E18" s="297">
        <f>'Smart TC System JT Savings'!D54</f>
        <v>48283406.542977981</v>
      </c>
      <c r="F18" s="71"/>
      <c r="G18" s="72"/>
      <c r="H18" s="72"/>
      <c r="I18" s="72"/>
      <c r="J18" s="72"/>
      <c r="K18" s="72"/>
    </row>
    <row r="19" spans="1:11" x14ac:dyDescent="0.3">
      <c r="A19" s="249"/>
      <c r="B19" s="85" t="s">
        <v>709</v>
      </c>
      <c r="C19" s="103"/>
      <c r="D19" s="104" t="s">
        <v>191</v>
      </c>
      <c r="E19" s="244">
        <f>'Smart TC System JT Savings'!G54</f>
        <v>2317000.6206575525</v>
      </c>
      <c r="F19" s="71"/>
      <c r="G19" s="303">
        <f>E19/$E$41</f>
        <v>0.10809743302853507</v>
      </c>
      <c r="H19" s="72"/>
      <c r="I19" s="72"/>
      <c r="J19" s="72"/>
      <c r="K19" s="72"/>
    </row>
    <row r="20" spans="1:11" x14ac:dyDescent="0.3">
      <c r="A20" s="292"/>
      <c r="B20" s="293"/>
      <c r="C20" s="294"/>
      <c r="D20" s="295"/>
      <c r="E20" s="296"/>
      <c r="F20" s="71"/>
      <c r="G20" s="72"/>
      <c r="H20" s="72"/>
      <c r="I20" s="72"/>
      <c r="J20" s="72"/>
      <c r="K20" s="72"/>
    </row>
    <row r="21" spans="1:11" x14ac:dyDescent="0.3">
      <c r="A21" s="250" t="s">
        <v>704</v>
      </c>
      <c r="B21" s="87" t="s">
        <v>192</v>
      </c>
      <c r="C21" s="87"/>
      <c r="D21" s="88" t="s">
        <v>193</v>
      </c>
      <c r="E21" s="76">
        <f>'Mode shift to bus+tram'!B44+'Smart PT Hubs EV charging'!B53</f>
        <v>1150290</v>
      </c>
      <c r="F21" s="72"/>
      <c r="G21" s="72"/>
      <c r="H21" s="72"/>
      <c r="I21" s="72"/>
      <c r="J21" s="72"/>
      <c r="K21" s="72"/>
    </row>
    <row r="22" spans="1:11" x14ac:dyDescent="0.3">
      <c r="A22" s="250"/>
      <c r="B22" s="87" t="s">
        <v>194</v>
      </c>
      <c r="C22" s="87"/>
      <c r="D22" s="88" t="s">
        <v>193</v>
      </c>
      <c r="E22" s="76">
        <f>'Mode shift to bus+tram'!E44-'Smart PT Hubs EV charging'!E53-'Smart PT Hubs EV charging'!B146</f>
        <v>-1419749.3949044587</v>
      </c>
      <c r="F22" s="72"/>
      <c r="G22" s="72"/>
      <c r="H22" s="72"/>
      <c r="I22" s="72"/>
      <c r="J22" s="72"/>
      <c r="K22" s="72"/>
    </row>
    <row r="23" spans="1:11" x14ac:dyDescent="0.3">
      <c r="A23" s="250"/>
      <c r="B23" s="87" t="s">
        <v>195</v>
      </c>
      <c r="C23" s="87"/>
      <c r="D23" s="88" t="s">
        <v>150</v>
      </c>
      <c r="E23" s="76">
        <f>'Mode shift to bus+tram'!F44+'Smart PT Hubs EV charging'!F53+'Smart PT Hubs EV charging'!C146</f>
        <v>14123699.768169172</v>
      </c>
      <c r="F23" s="72"/>
      <c r="G23" s="72"/>
      <c r="H23" s="72"/>
      <c r="I23" s="72"/>
      <c r="J23" s="72"/>
      <c r="K23" s="72"/>
    </row>
    <row r="24" spans="1:11" x14ac:dyDescent="0.3">
      <c r="A24" s="250"/>
      <c r="B24" s="87" t="s">
        <v>196</v>
      </c>
      <c r="C24" s="87"/>
      <c r="D24" s="88" t="s">
        <v>191</v>
      </c>
      <c r="E24" s="76">
        <f>'Mode shift to bus+tram'!B94+'Smart PT Hubs EV charging'!B102+'Smart PT Hubs EV charging'!C170</f>
        <v>3606915.7161061801</v>
      </c>
      <c r="F24" s="78"/>
      <c r="G24" s="72"/>
      <c r="H24" s="72"/>
      <c r="I24" s="72"/>
      <c r="J24" s="79"/>
      <c r="K24" s="72"/>
    </row>
    <row r="25" spans="1:11" x14ac:dyDescent="0.3">
      <c r="A25" s="250"/>
      <c r="B25" s="87" t="s">
        <v>197</v>
      </c>
      <c r="C25" s="87"/>
      <c r="D25" s="88" t="s">
        <v>191</v>
      </c>
      <c r="E25" s="76">
        <f>'Mode shift to bus+tram'!C94+'Smart PT Hubs EV charging'!C102+'Smart PT Hubs EV charging'!D170</f>
        <v>9494.0394763858822</v>
      </c>
      <c r="F25" s="78"/>
      <c r="G25" s="72"/>
      <c r="H25" s="72"/>
      <c r="I25" s="72"/>
      <c r="J25" s="72"/>
      <c r="K25" s="72"/>
    </row>
    <row r="26" spans="1:11" x14ac:dyDescent="0.3">
      <c r="A26" s="250"/>
      <c r="B26" s="87" t="s">
        <v>198</v>
      </c>
      <c r="C26" s="87"/>
      <c r="D26" s="88" t="s">
        <v>191</v>
      </c>
      <c r="E26" s="76">
        <f>'Mode shift to bus+tram'!D94+'Smart PT Hubs EV charging'!D102+'Smart PT Hubs EV charging'!E170</f>
        <v>284821.18429157644</v>
      </c>
      <c r="F26" s="78"/>
      <c r="G26" s="72"/>
      <c r="H26" s="72"/>
      <c r="I26" s="72"/>
      <c r="J26" s="72"/>
      <c r="K26" s="72"/>
    </row>
    <row r="27" spans="1:11" x14ac:dyDescent="0.3">
      <c r="A27" s="250"/>
      <c r="B27" s="87" t="s">
        <v>199</v>
      </c>
      <c r="C27" s="87"/>
      <c r="D27" s="88" t="s">
        <v>191</v>
      </c>
      <c r="E27" s="76">
        <f>'Mode shift to bus+tram'!E94+'Smart PT Hubs EV charging'!E102+'Smart PT Hubs EV charging'!F170</f>
        <v>1459.6289118337793</v>
      </c>
      <c r="F27" s="81"/>
      <c r="G27" s="72"/>
      <c r="H27" s="72"/>
      <c r="I27" s="72"/>
      <c r="J27" s="72"/>
      <c r="K27" s="72"/>
    </row>
    <row r="28" spans="1:11" x14ac:dyDescent="0.3">
      <c r="A28" s="250"/>
      <c r="B28" s="87" t="s">
        <v>200</v>
      </c>
      <c r="C28" s="87"/>
      <c r="D28" s="88" t="s">
        <v>191</v>
      </c>
      <c r="E28" s="76">
        <f>'Mode shift to bus+tram'!F94+'Smart PT Hubs EV charging'!F102+'Smart PT Hubs EV charging'!G170</f>
        <v>18988.078952771764</v>
      </c>
      <c r="F28" s="81"/>
      <c r="G28" s="72"/>
      <c r="H28" s="72"/>
      <c r="I28" s="72"/>
      <c r="J28" s="72"/>
      <c r="K28" s="72"/>
    </row>
    <row r="29" spans="1:11" x14ac:dyDescent="0.3">
      <c r="A29" s="250"/>
      <c r="B29" s="87" t="s">
        <v>201</v>
      </c>
      <c r="C29" s="87"/>
      <c r="D29" s="88" t="s">
        <v>191</v>
      </c>
      <c r="E29" s="76">
        <f>'Mode shift to bus+tram'!G94+'Smart PT Hubs EV charging'!G102+'Smart PT Hubs EV charging'!H170</f>
        <v>41184.846791050513</v>
      </c>
      <c r="F29" s="81"/>
      <c r="G29" s="72"/>
      <c r="H29" s="72"/>
      <c r="I29" s="72"/>
      <c r="J29" s="72"/>
      <c r="K29" s="72"/>
    </row>
    <row r="30" spans="1:11" x14ac:dyDescent="0.3">
      <c r="A30" s="250"/>
      <c r="B30" s="87" t="s">
        <v>202</v>
      </c>
      <c r="C30" s="87"/>
      <c r="D30" s="88" t="s">
        <v>191</v>
      </c>
      <c r="E30" s="76">
        <f>'Mode shift to bus+tram'!H94+'Smart PT Hubs EV charging'!H102+'Smart PT Hubs EV charging'!I170</f>
        <v>-217640.71596885921</v>
      </c>
      <c r="F30" s="81"/>
      <c r="G30" s="72"/>
      <c r="H30" s="72"/>
      <c r="I30" s="72"/>
      <c r="J30" s="72"/>
      <c r="K30" s="72"/>
    </row>
    <row r="31" spans="1:11" x14ac:dyDescent="0.3">
      <c r="A31" s="250"/>
      <c r="B31" s="85" t="s">
        <v>710</v>
      </c>
      <c r="C31" s="85"/>
      <c r="D31" s="86" t="s">
        <v>191</v>
      </c>
      <c r="E31" s="84">
        <f>SUM(E24:E30)</f>
        <v>3745222.7785609388</v>
      </c>
      <c r="F31" s="78"/>
      <c r="G31" s="303">
        <f>E31/$E$41</f>
        <v>0.17472976263922671</v>
      </c>
      <c r="H31" s="72"/>
      <c r="I31" s="72"/>
      <c r="J31" s="72"/>
      <c r="K31" s="72"/>
    </row>
    <row r="32" spans="1:11" x14ac:dyDescent="0.3">
      <c r="A32" s="287"/>
      <c r="B32" s="299"/>
      <c r="C32" s="299"/>
      <c r="D32" s="285"/>
      <c r="E32" s="300"/>
      <c r="F32" s="78"/>
      <c r="G32" s="72"/>
      <c r="H32" s="72"/>
      <c r="I32" s="72"/>
      <c r="J32" s="72"/>
      <c r="K32" s="72"/>
    </row>
    <row r="33" spans="1:15" ht="28.8" x14ac:dyDescent="0.3">
      <c r="A33" s="100" t="s">
        <v>239</v>
      </c>
      <c r="B33" s="87" t="s">
        <v>242</v>
      </c>
      <c r="C33" s="87"/>
      <c r="D33" s="88" t="s">
        <v>203</v>
      </c>
      <c r="E33" s="76">
        <f>0-E29/AVERAGE('Factors and data'!D239:D258)</f>
        <v>-519.22530468260106</v>
      </c>
      <c r="F33" s="72"/>
      <c r="G33" s="101"/>
      <c r="H33" s="71"/>
      <c r="I33" s="71"/>
      <c r="J33" s="71"/>
      <c r="K33" s="71"/>
      <c r="L33" s="30"/>
      <c r="M33" s="30"/>
      <c r="N33" s="30"/>
      <c r="O33" s="30"/>
    </row>
    <row r="34" spans="1:15" x14ac:dyDescent="0.3">
      <c r="A34" s="73"/>
      <c r="B34" s="87"/>
      <c r="C34" s="87"/>
      <c r="D34" s="88"/>
      <c r="E34" s="80"/>
      <c r="F34" s="72"/>
      <c r="G34" s="72"/>
      <c r="H34" s="72"/>
      <c r="I34" s="72"/>
      <c r="J34" s="72"/>
      <c r="K34" s="72"/>
    </row>
    <row r="35" spans="1:15" ht="14.4" customHeight="1" x14ac:dyDescent="0.3">
      <c r="A35" s="249" t="s">
        <v>217</v>
      </c>
      <c r="B35" s="87" t="s">
        <v>246</v>
      </c>
      <c r="C35" s="87"/>
      <c r="D35" s="88" t="s">
        <v>191</v>
      </c>
      <c r="E35" s="89">
        <f>'Operating cost savings'!D35</f>
        <v>991749.96930894908</v>
      </c>
      <c r="F35" s="72"/>
      <c r="G35" s="72"/>
      <c r="H35" s="72"/>
      <c r="I35" s="72"/>
      <c r="J35" s="72"/>
      <c r="K35" s="72"/>
    </row>
    <row r="36" spans="1:15" x14ac:dyDescent="0.3">
      <c r="A36" s="249"/>
      <c r="B36" s="87" t="s">
        <v>220</v>
      </c>
      <c r="C36" s="87"/>
      <c r="D36" s="88" t="s">
        <v>211</v>
      </c>
      <c r="E36" s="76">
        <f>0-'Operating cost savings'!B79</f>
        <v>-29909.495208333345</v>
      </c>
      <c r="F36" s="72"/>
      <c r="G36" s="72"/>
      <c r="H36" s="72"/>
      <c r="I36" s="72"/>
      <c r="J36" s="72"/>
      <c r="K36" s="72"/>
    </row>
    <row r="37" spans="1:15" x14ac:dyDescent="0.3">
      <c r="A37" s="249"/>
      <c r="B37" s="87" t="s">
        <v>221</v>
      </c>
      <c r="C37" s="87"/>
      <c r="D37" s="88" t="s">
        <v>150</v>
      </c>
      <c r="E37" s="76">
        <f>0-'Operating cost savings'!C79</f>
        <v>-478551.92333333351</v>
      </c>
      <c r="F37" s="72"/>
      <c r="G37" s="72"/>
      <c r="H37" s="72"/>
      <c r="I37" s="72"/>
      <c r="J37" s="72"/>
      <c r="K37" s="72"/>
    </row>
    <row r="38" spans="1:15" x14ac:dyDescent="0.3">
      <c r="A38" s="249"/>
      <c r="B38" s="87" t="s">
        <v>222</v>
      </c>
      <c r="C38" s="87"/>
      <c r="D38" s="88" t="s">
        <v>191</v>
      </c>
      <c r="E38" s="76">
        <f>'Operating cost savings'!F79</f>
        <v>430353.57858096715</v>
      </c>
      <c r="F38" s="72"/>
      <c r="G38" s="72"/>
      <c r="H38" s="72"/>
      <c r="I38" s="72"/>
      <c r="J38" s="72"/>
      <c r="K38" s="72"/>
    </row>
    <row r="39" spans="1:15" x14ac:dyDescent="0.3">
      <c r="A39" s="249"/>
      <c r="B39" s="85" t="s">
        <v>711</v>
      </c>
      <c r="C39" s="85"/>
      <c r="D39" s="86" t="s">
        <v>191</v>
      </c>
      <c r="E39" s="84">
        <f>E35+E38</f>
        <v>1422103.5478899162</v>
      </c>
      <c r="F39" s="72"/>
      <c r="G39" s="303">
        <f>E39/$E$41</f>
        <v>6.6346871751827921E-2</v>
      </c>
      <c r="H39" s="72"/>
      <c r="I39" s="72"/>
      <c r="J39" s="72"/>
      <c r="K39" s="72"/>
    </row>
    <row r="40" spans="1:15" x14ac:dyDescent="0.3">
      <c r="A40" s="287"/>
      <c r="B40" s="87"/>
      <c r="C40" s="87"/>
      <c r="D40" s="88"/>
      <c r="E40" s="301"/>
      <c r="F40" s="71"/>
      <c r="G40" s="72"/>
      <c r="H40" s="72"/>
      <c r="I40" s="72"/>
      <c r="J40" s="72"/>
      <c r="K40" s="72"/>
    </row>
    <row r="41" spans="1:15" x14ac:dyDescent="0.3">
      <c r="A41" s="248" t="s">
        <v>122</v>
      </c>
      <c r="B41" s="87" t="s">
        <v>713</v>
      </c>
      <c r="C41" s="299"/>
      <c r="D41" s="88" t="s">
        <v>191</v>
      </c>
      <c r="E41" s="76">
        <f>SUM(E12+E15+E19+E31+E39)</f>
        <v>21434372.267155699</v>
      </c>
      <c r="F41" s="72"/>
      <c r="G41" s="72"/>
      <c r="H41" s="72"/>
      <c r="I41" s="72"/>
      <c r="J41" s="72"/>
      <c r="K41" s="72"/>
    </row>
    <row r="42" spans="1:15" x14ac:dyDescent="0.3">
      <c r="A42" s="248"/>
      <c r="B42" s="294" t="s">
        <v>706</v>
      </c>
      <c r="C42" s="302"/>
      <c r="D42" s="88" t="s">
        <v>191</v>
      </c>
      <c r="E42" s="76">
        <f>'Scheme Costs'!K20</f>
        <v>650000</v>
      </c>
      <c r="F42" s="72"/>
      <c r="G42" s="72"/>
      <c r="H42" s="72"/>
      <c r="I42" s="72"/>
      <c r="J42" s="72"/>
      <c r="K42" s="72"/>
    </row>
    <row r="43" spans="1:15" x14ac:dyDescent="0.3">
      <c r="A43" s="248"/>
      <c r="B43" s="102" t="s">
        <v>712</v>
      </c>
      <c r="C43" s="103"/>
      <c r="D43" s="104" t="s">
        <v>191</v>
      </c>
      <c r="E43" s="84">
        <f>E41-E42</f>
        <v>20784372.267155699</v>
      </c>
      <c r="F43" s="245"/>
      <c r="G43" s="82"/>
      <c r="H43" s="82"/>
      <c r="I43" s="72"/>
      <c r="J43" s="72"/>
      <c r="K43" s="72"/>
    </row>
    <row r="44" spans="1:15" x14ac:dyDescent="0.3">
      <c r="A44" s="287"/>
      <c r="B44" s="87"/>
      <c r="C44" s="87"/>
      <c r="D44" s="88"/>
      <c r="E44" s="87"/>
      <c r="F44" s="71"/>
      <c r="G44" s="71"/>
      <c r="H44" s="71"/>
    </row>
    <row r="45" spans="1:15" x14ac:dyDescent="0.3">
      <c r="A45" s="220" t="s">
        <v>204</v>
      </c>
      <c r="B45" s="294" t="s">
        <v>702</v>
      </c>
      <c r="C45" s="294"/>
      <c r="D45" s="298" t="s">
        <v>191</v>
      </c>
      <c r="E45" s="76">
        <f>'Scheme Costs'!M20</f>
        <v>5695000</v>
      </c>
      <c r="F45" s="72"/>
      <c r="G45" s="99"/>
      <c r="H45" s="72"/>
      <c r="I45" s="30"/>
      <c r="J45" s="30"/>
      <c r="K45" s="30"/>
      <c r="L45" s="30"/>
      <c r="M45" s="30"/>
    </row>
    <row r="46" spans="1:15" x14ac:dyDescent="0.3">
      <c r="A46" s="91"/>
      <c r="B46" s="294" t="s">
        <v>276</v>
      </c>
      <c r="C46" s="294"/>
      <c r="D46" s="298" t="s">
        <v>191</v>
      </c>
      <c r="E46" s="76">
        <f>SUM(E45:E45)/'Factors and data'!B156*'Factors and data'!B147</f>
        <v>4900078.8772516605</v>
      </c>
      <c r="F46" s="72"/>
      <c r="G46" s="72"/>
      <c r="H46" s="72"/>
      <c r="I46" s="71"/>
      <c r="J46" s="71"/>
      <c r="K46" s="71"/>
      <c r="L46" s="246"/>
      <c r="M46" s="71"/>
    </row>
    <row r="47" spans="1:15" x14ac:dyDescent="0.3">
      <c r="A47" s="93"/>
      <c r="B47" s="85" t="s">
        <v>274</v>
      </c>
      <c r="C47" s="98"/>
      <c r="D47" s="86"/>
      <c r="E47" s="92">
        <f>E43/E46</f>
        <v>4.2416403465760464</v>
      </c>
      <c r="F47" s="1"/>
    </row>
  </sheetData>
  <mergeCells count="6">
    <mergeCell ref="A6:A12"/>
    <mergeCell ref="A41:A43"/>
    <mergeCell ref="A35:A39"/>
    <mergeCell ref="A21:A31"/>
    <mergeCell ref="A14:A15"/>
    <mergeCell ref="A17:A19"/>
  </mergeCells>
  <dataValidations count="1">
    <dataValidation type="list" allowBlank="1" showInputMessage="1" showErrorMessage="1" sqref="H5:H6" xr:uid="{00000000-0002-0000-0300-000000000000}">
      <formula1>$I$5:$I$11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81A69-727A-4643-836B-707198F512D7}">
  <dimension ref="A1:O125"/>
  <sheetViews>
    <sheetView zoomScale="85" zoomScaleNormal="85" workbookViewId="0">
      <selection activeCell="L3" sqref="L3"/>
    </sheetView>
  </sheetViews>
  <sheetFormatPr defaultRowHeight="14.4" x14ac:dyDescent="0.3"/>
  <cols>
    <col min="1" max="1" width="32.77734375" customWidth="1"/>
    <col min="2" max="2" width="29.6640625" customWidth="1"/>
    <col min="3" max="3" width="19.33203125" customWidth="1"/>
    <col min="4" max="4" width="22" bestFit="1" customWidth="1"/>
    <col min="5" max="5" width="18.5546875" customWidth="1"/>
    <col min="6" max="6" width="22" bestFit="1" customWidth="1"/>
    <col min="7" max="7" width="15.77734375" customWidth="1"/>
    <col min="8" max="8" width="12.77734375" customWidth="1"/>
    <col min="9" max="9" width="14.6640625" customWidth="1"/>
    <col min="10" max="10" width="12.77734375" customWidth="1"/>
    <col min="11" max="11" width="26.21875" bestFit="1" customWidth="1"/>
  </cols>
  <sheetData>
    <row r="1" spans="1:12" x14ac:dyDescent="0.3">
      <c r="A1" s="1" t="s">
        <v>592</v>
      </c>
    </row>
    <row r="3" spans="1:12" x14ac:dyDescent="0.3">
      <c r="A3" t="s">
        <v>603</v>
      </c>
      <c r="J3" t="s">
        <v>589</v>
      </c>
      <c r="K3" t="s">
        <v>590</v>
      </c>
      <c r="L3" s="205" t="s">
        <v>591</v>
      </c>
    </row>
    <row r="4" spans="1:12" ht="15" thickBot="1" x14ac:dyDescent="0.35">
      <c r="A4" t="s">
        <v>588</v>
      </c>
    </row>
    <row r="5" spans="1:12" x14ac:dyDescent="0.3">
      <c r="A5" s="196"/>
      <c r="B5" s="197"/>
      <c r="C5" s="197"/>
      <c r="D5" s="273" t="s">
        <v>576</v>
      </c>
      <c r="E5" s="273"/>
      <c r="F5" s="273"/>
      <c r="G5" s="273"/>
    </row>
    <row r="6" spans="1:12" ht="27.6" thickBot="1" x14ac:dyDescent="0.35">
      <c r="A6" s="198" t="s">
        <v>577</v>
      </c>
      <c r="B6" s="199" t="s">
        <v>578</v>
      </c>
      <c r="C6" s="200" t="s">
        <v>579</v>
      </c>
      <c r="D6" s="201" t="s">
        <v>580</v>
      </c>
      <c r="E6" s="201" t="s">
        <v>581</v>
      </c>
      <c r="F6" s="201" t="s">
        <v>582</v>
      </c>
      <c r="G6" s="201" t="s">
        <v>583</v>
      </c>
    </row>
    <row r="7" spans="1:12" x14ac:dyDescent="0.3">
      <c r="A7" s="202" t="s">
        <v>584</v>
      </c>
      <c r="B7" s="203" t="s">
        <v>585</v>
      </c>
      <c r="C7" s="203"/>
      <c r="D7" s="204">
        <v>12.1685</v>
      </c>
      <c r="E7" s="204">
        <v>8.0620999999999992</v>
      </c>
      <c r="F7" s="204">
        <v>3.5291000000000001</v>
      </c>
      <c r="G7" s="204">
        <v>1.9520999999999999</v>
      </c>
    </row>
    <row r="8" spans="1:12" x14ac:dyDescent="0.3">
      <c r="A8" s="202" t="s">
        <v>586</v>
      </c>
      <c r="B8" s="203" t="s">
        <v>587</v>
      </c>
      <c r="C8" s="203"/>
      <c r="D8" s="204">
        <v>13.680200000000001</v>
      </c>
      <c r="E8" s="204">
        <v>9.8891999999999989</v>
      </c>
      <c r="F8" s="204">
        <v>4.7190000000000003</v>
      </c>
      <c r="G8" s="204">
        <v>2.9832000000000001</v>
      </c>
    </row>
    <row r="10" spans="1:12" x14ac:dyDescent="0.3">
      <c r="A10" t="s">
        <v>593</v>
      </c>
      <c r="K10" t="s">
        <v>590</v>
      </c>
      <c r="L10" t="s">
        <v>597</v>
      </c>
    </row>
    <row r="11" spans="1:12" ht="7.2" customHeight="1" thickBot="1" x14ac:dyDescent="0.35"/>
    <row r="12" spans="1:12" x14ac:dyDescent="0.3">
      <c r="A12" s="196"/>
      <c r="B12" s="197"/>
      <c r="C12" s="197"/>
      <c r="D12" s="273" t="s">
        <v>576</v>
      </c>
      <c r="E12" s="273"/>
      <c r="F12" s="273"/>
      <c r="G12" s="273"/>
    </row>
    <row r="13" spans="1:12" ht="27.6" thickBot="1" x14ac:dyDescent="0.35">
      <c r="A13" s="198" t="s">
        <v>577</v>
      </c>
      <c r="B13" s="199" t="s">
        <v>578</v>
      </c>
      <c r="C13" s="200" t="s">
        <v>594</v>
      </c>
      <c r="D13" s="201" t="s">
        <v>580</v>
      </c>
      <c r="E13" s="201" t="s">
        <v>581</v>
      </c>
      <c r="F13" s="201" t="s">
        <v>582</v>
      </c>
      <c r="G13" s="201" t="s">
        <v>583</v>
      </c>
    </row>
    <row r="14" spans="1:12" x14ac:dyDescent="0.3">
      <c r="A14" s="202" t="s">
        <v>584</v>
      </c>
      <c r="B14" s="203" t="s">
        <v>585</v>
      </c>
      <c r="C14" s="207">
        <v>257034</v>
      </c>
      <c r="D14" s="208">
        <f t="shared" ref="D14:G15" si="0">$C14/100*D7</f>
        <v>31277.182290000001</v>
      </c>
      <c r="E14" s="208">
        <f t="shared" si="0"/>
        <v>20722.338113999998</v>
      </c>
      <c r="F14" s="208">
        <f t="shared" si="0"/>
        <v>9070.9868940000015</v>
      </c>
      <c r="G14" s="208">
        <f t="shared" si="0"/>
        <v>5017.5607140000002</v>
      </c>
    </row>
    <row r="15" spans="1:12" x14ac:dyDescent="0.3">
      <c r="A15" s="202" t="s">
        <v>586</v>
      </c>
      <c r="B15" s="203" t="s">
        <v>587</v>
      </c>
      <c r="C15" s="206">
        <v>329200</v>
      </c>
      <c r="D15" s="208">
        <f t="shared" si="0"/>
        <v>45035.218400000005</v>
      </c>
      <c r="E15" s="208">
        <f t="shared" si="0"/>
        <v>32555.246399999996</v>
      </c>
      <c r="F15" s="208">
        <f t="shared" si="0"/>
        <v>15534.948</v>
      </c>
      <c r="G15" s="208">
        <f t="shared" si="0"/>
        <v>9820.6944000000003</v>
      </c>
    </row>
    <row r="17" spans="1:12" x14ac:dyDescent="0.3">
      <c r="A17" t="s">
        <v>595</v>
      </c>
    </row>
    <row r="18" spans="1:12" ht="7.2" customHeight="1" thickBot="1" x14ac:dyDescent="0.35"/>
    <row r="19" spans="1:12" x14ac:dyDescent="0.3">
      <c r="A19" s="196"/>
      <c r="B19" s="197"/>
      <c r="C19" s="197"/>
      <c r="D19" s="273" t="s">
        <v>601</v>
      </c>
      <c r="E19" s="273"/>
      <c r="F19" s="273"/>
      <c r="G19" s="273"/>
      <c r="H19" s="273"/>
      <c r="I19" s="273"/>
    </row>
    <row r="20" spans="1:12" ht="27.6" thickBot="1" x14ac:dyDescent="0.35">
      <c r="A20" s="198" t="s">
        <v>577</v>
      </c>
      <c r="B20" s="199" t="s">
        <v>578</v>
      </c>
      <c r="C20" s="200" t="s">
        <v>594</v>
      </c>
      <c r="D20" s="201" t="s">
        <v>580</v>
      </c>
      <c r="E20" s="201" t="s">
        <v>581</v>
      </c>
      <c r="F20" s="201" t="s">
        <v>582</v>
      </c>
      <c r="G20" s="201" t="s">
        <v>583</v>
      </c>
      <c r="H20" s="209" t="s">
        <v>596</v>
      </c>
      <c r="I20" s="209" t="s">
        <v>600</v>
      </c>
    </row>
    <row r="21" spans="1:12" x14ac:dyDescent="0.3">
      <c r="A21" s="202" t="s">
        <v>584</v>
      </c>
      <c r="B21" s="203" t="s">
        <v>585</v>
      </c>
      <c r="C21" s="207">
        <v>257034</v>
      </c>
      <c r="D21" s="107">
        <f>D14-(E21+F21+G21)</f>
        <v>10554.844176000002</v>
      </c>
      <c r="E21" s="107">
        <f>E14-(F21+G21)</f>
        <v>11651.351219999997</v>
      </c>
      <c r="F21" s="107">
        <f>F14-G21</f>
        <v>4053.4261800000013</v>
      </c>
      <c r="G21" s="107">
        <f>G14</f>
        <v>5017.5607140000002</v>
      </c>
      <c r="H21" s="107">
        <f>SUM(D21:G21)</f>
        <v>31277.182290000001</v>
      </c>
      <c r="I21" s="107">
        <f>C21-H21</f>
        <v>225756.81771</v>
      </c>
    </row>
    <row r="22" spans="1:12" x14ac:dyDescent="0.3">
      <c r="A22" s="202" t="s">
        <v>586</v>
      </c>
      <c r="B22" s="203" t="s">
        <v>587</v>
      </c>
      <c r="C22" s="206">
        <v>329200</v>
      </c>
      <c r="D22" s="107">
        <f>D15-(E22+F22+G22)</f>
        <v>12479.972000000009</v>
      </c>
      <c r="E22" s="107">
        <f>E15-(F22+G22)</f>
        <v>17020.298399999996</v>
      </c>
      <c r="F22" s="107">
        <f>F15-G22</f>
        <v>5714.2536</v>
      </c>
      <c r="G22" s="107">
        <f>G15</f>
        <v>9820.6944000000003</v>
      </c>
      <c r="H22" s="107">
        <f>SUM(D22:G22)</f>
        <v>45035.218400000005</v>
      </c>
      <c r="I22" s="107">
        <f>C22-H22</f>
        <v>284164.78159999999</v>
      </c>
    </row>
    <row r="24" spans="1:12" x14ac:dyDescent="0.3">
      <c r="A24" t="s">
        <v>598</v>
      </c>
    </row>
    <row r="25" spans="1:12" ht="5.4" customHeight="1" thickBot="1" x14ac:dyDescent="0.35"/>
    <row r="26" spans="1:12" x14ac:dyDescent="0.3">
      <c r="A26" s="196"/>
      <c r="B26" s="197"/>
      <c r="C26" s="197"/>
      <c r="D26" s="273" t="s">
        <v>602</v>
      </c>
      <c r="E26" s="273"/>
      <c r="F26" s="273"/>
      <c r="G26" s="273"/>
      <c r="H26" s="273"/>
    </row>
    <row r="27" spans="1:12" ht="27.6" thickBot="1" x14ac:dyDescent="0.35">
      <c r="A27" s="198" t="s">
        <v>577</v>
      </c>
      <c r="B27" s="199" t="s">
        <v>578</v>
      </c>
      <c r="C27" s="200" t="s">
        <v>594</v>
      </c>
      <c r="D27" s="201">
        <v>12</v>
      </c>
      <c r="E27" s="201">
        <v>52</v>
      </c>
      <c r="F27" s="201">
        <f>3*52</f>
        <v>156</v>
      </c>
      <c r="G27" s="201">
        <f>5*52</f>
        <v>260</v>
      </c>
      <c r="H27" s="209" t="s">
        <v>599</v>
      </c>
    </row>
    <row r="28" spans="1:12" x14ac:dyDescent="0.3">
      <c r="A28" s="202" t="s">
        <v>584</v>
      </c>
      <c r="B28" s="203" t="s">
        <v>585</v>
      </c>
      <c r="C28" s="207">
        <v>257034</v>
      </c>
      <c r="D28" s="107">
        <f>D21*D$27</f>
        <v>126658.13011200003</v>
      </c>
      <c r="E28" s="107">
        <f t="shared" ref="E28:G28" si="1">E21*E$27</f>
        <v>605870.26343999989</v>
      </c>
      <c r="F28" s="107">
        <f t="shared" si="1"/>
        <v>632334.4840800002</v>
      </c>
      <c r="G28" s="107">
        <f t="shared" si="1"/>
        <v>1304565.7856400001</v>
      </c>
      <c r="H28" s="107">
        <f>SUM(D28:G28)</f>
        <v>2669428.6632719999</v>
      </c>
    </row>
    <row r="29" spans="1:12" x14ac:dyDescent="0.3">
      <c r="A29" s="202" t="s">
        <v>586</v>
      </c>
      <c r="B29" s="203" t="s">
        <v>587</v>
      </c>
      <c r="C29" s="206">
        <v>329200</v>
      </c>
      <c r="D29" s="107">
        <f>D22*D$27</f>
        <v>149759.66400000011</v>
      </c>
      <c r="E29" s="107">
        <f t="shared" ref="E29:G29" si="2">E22*E$27</f>
        <v>885055.51679999975</v>
      </c>
      <c r="F29" s="107">
        <f t="shared" si="2"/>
        <v>891423.56160000002</v>
      </c>
      <c r="G29" s="107">
        <f t="shared" si="2"/>
        <v>2553380.5440000002</v>
      </c>
      <c r="H29" s="107">
        <f>SUM(D29:G29)</f>
        <v>4479619.2863999996</v>
      </c>
    </row>
    <row r="32" spans="1:12" x14ac:dyDescent="0.3">
      <c r="A32" s="1" t="s">
        <v>605</v>
      </c>
      <c r="K32" t="s">
        <v>590</v>
      </c>
      <c r="L32" t="s">
        <v>604</v>
      </c>
    </row>
    <row r="33" spans="1:12" x14ac:dyDescent="0.3">
      <c r="A33" s="15">
        <v>0.31</v>
      </c>
      <c r="B33" t="s">
        <v>606</v>
      </c>
    </row>
    <row r="34" spans="1:12" x14ac:dyDescent="0.3">
      <c r="A34" s="15">
        <v>0.26</v>
      </c>
      <c r="B34" t="s">
        <v>607</v>
      </c>
    </row>
    <row r="35" spans="1:12" x14ac:dyDescent="0.3">
      <c r="A35" s="15">
        <v>0.35</v>
      </c>
      <c r="B35" t="s">
        <v>634</v>
      </c>
    </row>
    <row r="36" spans="1:12" x14ac:dyDescent="0.3">
      <c r="A36" s="15">
        <v>0.46</v>
      </c>
      <c r="B36" t="s">
        <v>614</v>
      </c>
    </row>
    <row r="37" spans="1:12" x14ac:dyDescent="0.3">
      <c r="A37" s="15">
        <v>0.22</v>
      </c>
      <c r="B37" t="s">
        <v>611</v>
      </c>
    </row>
    <row r="38" spans="1:12" x14ac:dyDescent="0.3">
      <c r="A38" s="15">
        <v>0.28000000000000003</v>
      </c>
      <c r="B38" t="s">
        <v>612</v>
      </c>
    </row>
    <row r="39" spans="1:12" x14ac:dyDescent="0.3">
      <c r="A39" s="15">
        <v>0.21</v>
      </c>
      <c r="B39" t="s">
        <v>613</v>
      </c>
    </row>
    <row r="40" spans="1:12" x14ac:dyDescent="0.3">
      <c r="A40" s="15"/>
    </row>
    <row r="41" spans="1:12" x14ac:dyDescent="0.3">
      <c r="A41" s="1" t="s">
        <v>608</v>
      </c>
    </row>
    <row r="42" spans="1:12" x14ac:dyDescent="0.3">
      <c r="A42" s="7">
        <f>5*'Factors and data'!E63</f>
        <v>8.0467200000000005</v>
      </c>
      <c r="B42" t="s">
        <v>609</v>
      </c>
    </row>
    <row r="43" spans="1:12" x14ac:dyDescent="0.3">
      <c r="A43" s="7">
        <f>'Factors and data'!C65</f>
        <v>5.4717696</v>
      </c>
      <c r="B43" t="s">
        <v>610</v>
      </c>
    </row>
    <row r="45" spans="1:12" x14ac:dyDescent="0.3">
      <c r="A45" s="1" t="s">
        <v>620</v>
      </c>
      <c r="K45" t="s">
        <v>590</v>
      </c>
      <c r="L45" t="s">
        <v>615</v>
      </c>
    </row>
    <row r="46" spans="1:12" ht="7.2" customHeight="1" x14ac:dyDescent="0.3"/>
    <row r="47" spans="1:12" ht="29.4" thickBot="1" x14ac:dyDescent="0.35">
      <c r="B47" s="211" t="s">
        <v>627</v>
      </c>
      <c r="C47" s="211" t="s">
        <v>616</v>
      </c>
      <c r="D47" s="211" t="s">
        <v>617</v>
      </c>
      <c r="E47" s="212" t="s">
        <v>622</v>
      </c>
      <c r="F47" s="212" t="s">
        <v>621</v>
      </c>
      <c r="G47" s="212" t="s">
        <v>628</v>
      </c>
    </row>
    <row r="48" spans="1:12" x14ac:dyDescent="0.3">
      <c r="A48" t="s">
        <v>618</v>
      </c>
      <c r="B48" s="8">
        <f>2667/12</f>
        <v>222.25</v>
      </c>
      <c r="C48" s="8">
        <f>11702/12</f>
        <v>975.16666666666663</v>
      </c>
      <c r="D48" s="8">
        <f>188/12</f>
        <v>15.666666666666666</v>
      </c>
      <c r="E48" s="8">
        <f>C48/D48</f>
        <v>62.244680851063826</v>
      </c>
      <c r="F48" s="8">
        <f>SUM(35+26+55)/3</f>
        <v>38.666666666666664</v>
      </c>
      <c r="G48" s="8">
        <f>B48/D48</f>
        <v>14.186170212765958</v>
      </c>
    </row>
    <row r="49" spans="1:7" x14ac:dyDescent="0.3">
      <c r="A49" t="s">
        <v>619</v>
      </c>
      <c r="B49" s="210">
        <f>B48/10*12</f>
        <v>266.70000000000005</v>
      </c>
      <c r="C49" s="210">
        <f>C48/10*12</f>
        <v>1170.2</v>
      </c>
      <c r="D49" s="210">
        <f>D48</f>
        <v>15.666666666666666</v>
      </c>
      <c r="E49" s="210">
        <f>C49/D49</f>
        <v>74.693617021276594</v>
      </c>
      <c r="F49" s="210">
        <f>SUM(35+26+55)/3</f>
        <v>38.666666666666664</v>
      </c>
      <c r="G49" s="210">
        <f>B49/D49</f>
        <v>17.023404255319154</v>
      </c>
    </row>
    <row r="50" spans="1:7" x14ac:dyDescent="0.3">
      <c r="B50" s="8"/>
      <c r="C50" s="8"/>
      <c r="D50" s="8"/>
      <c r="E50" s="8"/>
      <c r="F50" s="8"/>
    </row>
    <row r="51" spans="1:7" x14ac:dyDescent="0.3">
      <c r="A51" s="1" t="s">
        <v>625</v>
      </c>
      <c r="B51" s="8"/>
      <c r="C51" s="8"/>
      <c r="D51" s="8"/>
      <c r="E51" s="8"/>
      <c r="F51" s="8"/>
    </row>
    <row r="53" spans="1:7" ht="15" thickBot="1" x14ac:dyDescent="0.35">
      <c r="B53" s="211" t="s">
        <v>623</v>
      </c>
      <c r="C53" s="211" t="s">
        <v>624</v>
      </c>
      <c r="D53" s="211" t="s">
        <v>626</v>
      </c>
    </row>
    <row r="54" spans="1:7" x14ac:dyDescent="0.3">
      <c r="A54" t="s">
        <v>585</v>
      </c>
      <c r="B54">
        <v>200</v>
      </c>
      <c r="C54">
        <v>225</v>
      </c>
      <c r="D54">
        <f>C54-B54</f>
        <v>25</v>
      </c>
    </row>
    <row r="55" spans="1:7" x14ac:dyDescent="0.3">
      <c r="A55" t="s">
        <v>587</v>
      </c>
      <c r="B55">
        <v>0</v>
      </c>
      <c r="C55">
        <v>250</v>
      </c>
      <c r="D55">
        <f>C55-B55</f>
        <v>250</v>
      </c>
    </row>
    <row r="57" spans="1:7" x14ac:dyDescent="0.3">
      <c r="A57" s="1" t="s">
        <v>632</v>
      </c>
    </row>
    <row r="58" spans="1:7" ht="4.2" customHeight="1" x14ac:dyDescent="0.3">
      <c r="A58" s="1"/>
    </row>
    <row r="59" spans="1:7" ht="15" thickBot="1" x14ac:dyDescent="0.35">
      <c r="B59" s="214" t="s">
        <v>629</v>
      </c>
      <c r="C59" s="214" t="s">
        <v>635</v>
      </c>
      <c r="D59" s="214" t="s">
        <v>630</v>
      </c>
      <c r="E59" s="214" t="s">
        <v>631</v>
      </c>
      <c r="F59" s="215" t="s">
        <v>633</v>
      </c>
    </row>
    <row r="60" spans="1:7" x14ac:dyDescent="0.3">
      <c r="A60" t="s">
        <v>585</v>
      </c>
      <c r="B60" s="3">
        <f>$D54*G49</f>
        <v>425.58510638297884</v>
      </c>
      <c r="C60" s="3">
        <f>B60*$A$33</f>
        <v>131.93138297872343</v>
      </c>
      <c r="D60" s="3">
        <f>$D54*$E$49</f>
        <v>1867.3404255319149</v>
      </c>
      <c r="E60" s="3">
        <f>(D60*$A$42)</f>
        <v>15025.96554893617</v>
      </c>
      <c r="F60" s="3">
        <f>D60*$A$36</f>
        <v>858.97659574468094</v>
      </c>
    </row>
    <row r="61" spans="1:7" x14ac:dyDescent="0.3">
      <c r="A61" t="s">
        <v>587</v>
      </c>
      <c r="B61" s="213">
        <f>$D55*G49</f>
        <v>4255.8510638297885</v>
      </c>
      <c r="C61" s="3">
        <f t="shared" ref="C61" si="3">B61*$A$33</f>
        <v>1319.3138297872345</v>
      </c>
      <c r="D61" s="3">
        <f>$D55*$E$49</f>
        <v>18673.40425531915</v>
      </c>
      <c r="E61" s="3">
        <f>(D61*$A$42)</f>
        <v>150259.65548936173</v>
      </c>
      <c r="F61" s="3">
        <f>D61*$A$36</f>
        <v>8589.7659574468089</v>
      </c>
    </row>
    <row r="62" spans="1:7" x14ac:dyDescent="0.3">
      <c r="A62" t="s">
        <v>122</v>
      </c>
      <c r="B62" s="213">
        <f>SUM(B60:B61)</f>
        <v>4681.4361702127671</v>
      </c>
      <c r="C62" s="213">
        <f t="shared" ref="C62:D62" si="4">SUM(C60:C61)</f>
        <v>1451.2452127659578</v>
      </c>
      <c r="D62" s="213">
        <f t="shared" si="4"/>
        <v>20540.744680851065</v>
      </c>
      <c r="E62" s="213">
        <f>SUM(E60:E61)</f>
        <v>165285.62103829789</v>
      </c>
      <c r="F62" s="213">
        <f>SUM(F60:F61)</f>
        <v>9448.7425531914905</v>
      </c>
    </row>
    <row r="63" spans="1:7" x14ac:dyDescent="0.3">
      <c r="B63" s="213"/>
      <c r="C63" s="213"/>
      <c r="D63" s="219"/>
      <c r="E63" s="218"/>
      <c r="F63" s="213"/>
    </row>
    <row r="64" spans="1:7" x14ac:dyDescent="0.3">
      <c r="A64" s="1" t="s">
        <v>636</v>
      </c>
      <c r="B64" s="213"/>
      <c r="C64" s="213"/>
      <c r="D64" s="213"/>
      <c r="E64" s="213"/>
      <c r="F64" s="213"/>
    </row>
    <row r="65" spans="1:6" x14ac:dyDescent="0.3">
      <c r="A65" t="s">
        <v>70</v>
      </c>
      <c r="B65" s="216">
        <v>1</v>
      </c>
      <c r="C65" s="213"/>
      <c r="D65" s="213"/>
      <c r="E65" s="213"/>
      <c r="F65" s="213"/>
    </row>
    <row r="66" spans="1:6" x14ac:dyDescent="0.3">
      <c r="A66" t="s">
        <v>71</v>
      </c>
      <c r="B66" s="216">
        <v>1.25</v>
      </c>
      <c r="C66" s="213"/>
      <c r="D66" s="213"/>
      <c r="E66" s="213"/>
      <c r="F66" s="213"/>
    </row>
    <row r="67" spans="1:6" x14ac:dyDescent="0.3">
      <c r="A67" t="s">
        <v>637</v>
      </c>
      <c r="B67" s="216">
        <v>1.5</v>
      </c>
      <c r="C67" s="213"/>
      <c r="D67" s="213"/>
      <c r="E67" s="213"/>
      <c r="F67" s="213"/>
    </row>
    <row r="68" spans="1:6" x14ac:dyDescent="0.3">
      <c r="A68" t="s">
        <v>638</v>
      </c>
      <c r="B68" s="15">
        <v>2</v>
      </c>
    </row>
    <row r="69" spans="1:6" x14ac:dyDescent="0.3">
      <c r="B69" s="15"/>
    </row>
    <row r="70" spans="1:6" x14ac:dyDescent="0.3">
      <c r="A70" s="217" t="s">
        <v>643</v>
      </c>
    </row>
    <row r="71" spans="1:6" x14ac:dyDescent="0.3">
      <c r="A71" s="66" t="s">
        <v>160</v>
      </c>
      <c r="B71" s="195" t="s">
        <v>639</v>
      </c>
      <c r="C71" s="195" t="s">
        <v>642</v>
      </c>
      <c r="D71" s="195" t="s">
        <v>631</v>
      </c>
      <c r="E71" s="195" t="s">
        <v>641</v>
      </c>
      <c r="F71" s="195" t="s">
        <v>640</v>
      </c>
    </row>
    <row r="72" spans="1:6" x14ac:dyDescent="0.3">
      <c r="A72">
        <v>2019</v>
      </c>
      <c r="B72" s="107">
        <f>$C$62*B65</f>
        <v>1451.2452127659578</v>
      </c>
      <c r="C72" s="107">
        <f>($D$62*B65)</f>
        <v>20540.744680851065</v>
      </c>
      <c r="D72" s="107">
        <f>$E$62*B65</f>
        <v>165285.62103829789</v>
      </c>
      <c r="E72" s="107">
        <f>$F$62*B65</f>
        <v>9448.7425531914905</v>
      </c>
      <c r="F72" s="107">
        <f>E72*'eBike hire scheme'!$A$42</f>
        <v>76031.385677617029</v>
      </c>
    </row>
    <row r="73" spans="1:6" x14ac:dyDescent="0.3">
      <c r="A73">
        <v>2020</v>
      </c>
      <c r="B73" s="107">
        <f t="shared" ref="B73:B74" si="5">$C$62*B66</f>
        <v>1814.0565159574473</v>
      </c>
      <c r="C73" s="107">
        <f t="shared" ref="C73:C74" si="6">($D$62*B66)</f>
        <v>25675.930851063829</v>
      </c>
      <c r="D73" s="107">
        <f>$E$62*B66</f>
        <v>206607.02629787236</v>
      </c>
      <c r="E73" s="107">
        <f>$F$62*B66</f>
        <v>11810.928191489364</v>
      </c>
      <c r="F73" s="107">
        <f>E73*'eBike hire scheme'!$A$42</f>
        <v>95039.232097021304</v>
      </c>
    </row>
    <row r="74" spans="1:6" x14ac:dyDescent="0.3">
      <c r="A74">
        <v>2021</v>
      </c>
      <c r="B74" s="107">
        <f t="shared" si="5"/>
        <v>2176.8678191489366</v>
      </c>
      <c r="C74" s="107">
        <f t="shared" si="6"/>
        <v>30811.117021276597</v>
      </c>
      <c r="D74" s="107">
        <f>$E$62*B67</f>
        <v>247928.43155744683</v>
      </c>
      <c r="E74" s="107">
        <f>$F$62*B67</f>
        <v>14173.113829787235</v>
      </c>
      <c r="F74" s="107">
        <f>E74*'eBike hire scheme'!$A$42</f>
        <v>114047.07851642555</v>
      </c>
    </row>
    <row r="75" spans="1:6" x14ac:dyDescent="0.3">
      <c r="A75">
        <v>2022</v>
      </c>
      <c r="B75" s="107">
        <f>$C$62*$B$68</f>
        <v>2902.4904255319157</v>
      </c>
      <c r="C75" s="107">
        <f>($D$62*$B$68)</f>
        <v>41081.48936170213</v>
      </c>
      <c r="D75" s="107">
        <f>$E$62*$B$68</f>
        <v>330571.24207659578</v>
      </c>
      <c r="E75" s="107">
        <f>$F$62*$B$68</f>
        <v>18897.485106382981</v>
      </c>
      <c r="F75" s="107">
        <f>E75*'eBike hire scheme'!$A$42</f>
        <v>152062.77135523406</v>
      </c>
    </row>
    <row r="76" spans="1:6" x14ac:dyDescent="0.3">
      <c r="A76">
        <v>2023</v>
      </c>
      <c r="B76" s="107">
        <f t="shared" ref="B76:B91" si="7">$C$62*$B$68</f>
        <v>2902.4904255319157</v>
      </c>
      <c r="C76" s="107">
        <f t="shared" ref="C76:C91" si="8">($D$62*$B$68)</f>
        <v>41081.48936170213</v>
      </c>
      <c r="D76" s="107">
        <f t="shared" ref="D76:D91" si="9">$E$62*$B$68</f>
        <v>330571.24207659578</v>
      </c>
      <c r="E76" s="107">
        <f t="shared" ref="E76:E91" si="10">$F$62*$B$68</f>
        <v>18897.485106382981</v>
      </c>
      <c r="F76" s="107">
        <f>E76*'eBike hire scheme'!$A$42</f>
        <v>152062.77135523406</v>
      </c>
    </row>
    <row r="77" spans="1:6" x14ac:dyDescent="0.3">
      <c r="A77">
        <v>2024</v>
      </c>
      <c r="B77" s="107">
        <f t="shared" si="7"/>
        <v>2902.4904255319157</v>
      </c>
      <c r="C77" s="107">
        <f t="shared" si="8"/>
        <v>41081.48936170213</v>
      </c>
      <c r="D77" s="107">
        <f t="shared" si="9"/>
        <v>330571.24207659578</v>
      </c>
      <c r="E77" s="107">
        <f t="shared" si="10"/>
        <v>18897.485106382981</v>
      </c>
      <c r="F77" s="107">
        <f>E77*'eBike hire scheme'!$A$42</f>
        <v>152062.77135523406</v>
      </c>
    </row>
    <row r="78" spans="1:6" x14ac:dyDescent="0.3">
      <c r="A78">
        <v>2025</v>
      </c>
      <c r="B78" s="107">
        <f t="shared" si="7"/>
        <v>2902.4904255319157</v>
      </c>
      <c r="C78" s="107">
        <f t="shared" si="8"/>
        <v>41081.48936170213</v>
      </c>
      <c r="D78" s="107">
        <f t="shared" si="9"/>
        <v>330571.24207659578</v>
      </c>
      <c r="E78" s="107">
        <f t="shared" si="10"/>
        <v>18897.485106382981</v>
      </c>
      <c r="F78" s="107">
        <f>E78*'eBike hire scheme'!$A$42</f>
        <v>152062.77135523406</v>
      </c>
    </row>
    <row r="79" spans="1:6" x14ac:dyDescent="0.3">
      <c r="A79">
        <v>2026</v>
      </c>
      <c r="B79" s="107">
        <f t="shared" si="7"/>
        <v>2902.4904255319157</v>
      </c>
      <c r="C79" s="107">
        <f t="shared" si="8"/>
        <v>41081.48936170213</v>
      </c>
      <c r="D79" s="107">
        <f t="shared" si="9"/>
        <v>330571.24207659578</v>
      </c>
      <c r="E79" s="107">
        <f t="shared" si="10"/>
        <v>18897.485106382981</v>
      </c>
      <c r="F79" s="107">
        <f>E79*'eBike hire scheme'!$A$42</f>
        <v>152062.77135523406</v>
      </c>
    </row>
    <row r="80" spans="1:6" x14ac:dyDescent="0.3">
      <c r="A80">
        <v>2027</v>
      </c>
      <c r="B80" s="107">
        <f t="shared" si="7"/>
        <v>2902.4904255319157</v>
      </c>
      <c r="C80" s="107">
        <f t="shared" si="8"/>
        <v>41081.48936170213</v>
      </c>
      <c r="D80" s="107">
        <f t="shared" si="9"/>
        <v>330571.24207659578</v>
      </c>
      <c r="E80" s="107">
        <f t="shared" si="10"/>
        <v>18897.485106382981</v>
      </c>
      <c r="F80" s="107">
        <f>E80*'eBike hire scheme'!$A$42</f>
        <v>152062.77135523406</v>
      </c>
    </row>
    <row r="81" spans="1:6" x14ac:dyDescent="0.3">
      <c r="A81">
        <v>2028</v>
      </c>
      <c r="B81" s="107">
        <f t="shared" si="7"/>
        <v>2902.4904255319157</v>
      </c>
      <c r="C81" s="107">
        <f t="shared" si="8"/>
        <v>41081.48936170213</v>
      </c>
      <c r="D81" s="107">
        <f t="shared" si="9"/>
        <v>330571.24207659578</v>
      </c>
      <c r="E81" s="107">
        <f t="shared" si="10"/>
        <v>18897.485106382981</v>
      </c>
      <c r="F81" s="107">
        <f>E81*'eBike hire scheme'!$A$42</f>
        <v>152062.77135523406</v>
      </c>
    </row>
    <row r="82" spans="1:6" x14ac:dyDescent="0.3">
      <c r="A82">
        <v>2029</v>
      </c>
      <c r="B82" s="107">
        <f t="shared" si="7"/>
        <v>2902.4904255319157</v>
      </c>
      <c r="C82" s="107">
        <f t="shared" si="8"/>
        <v>41081.48936170213</v>
      </c>
      <c r="D82" s="107">
        <f t="shared" si="9"/>
        <v>330571.24207659578</v>
      </c>
      <c r="E82" s="107">
        <f t="shared" si="10"/>
        <v>18897.485106382981</v>
      </c>
      <c r="F82" s="107">
        <f>E82*'eBike hire scheme'!$A$42</f>
        <v>152062.77135523406</v>
      </c>
    </row>
    <row r="83" spans="1:6" x14ac:dyDescent="0.3">
      <c r="A83">
        <v>2030</v>
      </c>
      <c r="B83" s="107">
        <f t="shared" si="7"/>
        <v>2902.4904255319157</v>
      </c>
      <c r="C83" s="107">
        <f t="shared" si="8"/>
        <v>41081.48936170213</v>
      </c>
      <c r="D83" s="107">
        <f t="shared" si="9"/>
        <v>330571.24207659578</v>
      </c>
      <c r="E83" s="107">
        <f t="shared" si="10"/>
        <v>18897.485106382981</v>
      </c>
      <c r="F83" s="107">
        <f>E83*'eBike hire scheme'!$A$42</f>
        <v>152062.77135523406</v>
      </c>
    </row>
    <row r="84" spans="1:6" x14ac:dyDescent="0.3">
      <c r="A84">
        <v>2031</v>
      </c>
      <c r="B84" s="107">
        <f t="shared" si="7"/>
        <v>2902.4904255319157</v>
      </c>
      <c r="C84" s="107">
        <f t="shared" si="8"/>
        <v>41081.48936170213</v>
      </c>
      <c r="D84" s="107">
        <f t="shared" si="9"/>
        <v>330571.24207659578</v>
      </c>
      <c r="E84" s="107">
        <f t="shared" si="10"/>
        <v>18897.485106382981</v>
      </c>
      <c r="F84" s="107">
        <f>E84*'eBike hire scheme'!$A$42</f>
        <v>152062.77135523406</v>
      </c>
    </row>
    <row r="85" spans="1:6" x14ac:dyDescent="0.3">
      <c r="A85">
        <v>2032</v>
      </c>
      <c r="B85" s="107">
        <f t="shared" si="7"/>
        <v>2902.4904255319157</v>
      </c>
      <c r="C85" s="107">
        <f t="shared" si="8"/>
        <v>41081.48936170213</v>
      </c>
      <c r="D85" s="107">
        <f t="shared" si="9"/>
        <v>330571.24207659578</v>
      </c>
      <c r="E85" s="107">
        <f t="shared" si="10"/>
        <v>18897.485106382981</v>
      </c>
      <c r="F85" s="107">
        <f>E85*'eBike hire scheme'!$A$42</f>
        <v>152062.77135523406</v>
      </c>
    </row>
    <row r="86" spans="1:6" x14ac:dyDescent="0.3">
      <c r="A86">
        <v>2033</v>
      </c>
      <c r="B86" s="107">
        <f t="shared" si="7"/>
        <v>2902.4904255319157</v>
      </c>
      <c r="C86" s="107">
        <f t="shared" si="8"/>
        <v>41081.48936170213</v>
      </c>
      <c r="D86" s="107">
        <f t="shared" si="9"/>
        <v>330571.24207659578</v>
      </c>
      <c r="E86" s="107">
        <f t="shared" si="10"/>
        <v>18897.485106382981</v>
      </c>
      <c r="F86" s="107">
        <f>E86*'eBike hire scheme'!$A$42</f>
        <v>152062.77135523406</v>
      </c>
    </row>
    <row r="87" spans="1:6" x14ac:dyDescent="0.3">
      <c r="A87">
        <v>2034</v>
      </c>
      <c r="B87" s="107">
        <f t="shared" si="7"/>
        <v>2902.4904255319157</v>
      </c>
      <c r="C87" s="107">
        <f t="shared" si="8"/>
        <v>41081.48936170213</v>
      </c>
      <c r="D87" s="107">
        <f t="shared" si="9"/>
        <v>330571.24207659578</v>
      </c>
      <c r="E87" s="107">
        <f t="shared" si="10"/>
        <v>18897.485106382981</v>
      </c>
      <c r="F87" s="107">
        <f>E87*'eBike hire scheme'!$A$42</f>
        <v>152062.77135523406</v>
      </c>
    </row>
    <row r="88" spans="1:6" x14ac:dyDescent="0.3">
      <c r="A88">
        <v>2035</v>
      </c>
      <c r="B88" s="107">
        <f t="shared" si="7"/>
        <v>2902.4904255319157</v>
      </c>
      <c r="C88" s="107">
        <f t="shared" si="8"/>
        <v>41081.48936170213</v>
      </c>
      <c r="D88" s="107">
        <f t="shared" si="9"/>
        <v>330571.24207659578</v>
      </c>
      <c r="E88" s="107">
        <f t="shared" si="10"/>
        <v>18897.485106382981</v>
      </c>
      <c r="F88" s="107">
        <f>E88*'eBike hire scheme'!$A$42</f>
        <v>152062.77135523406</v>
      </c>
    </row>
    <row r="89" spans="1:6" x14ac:dyDescent="0.3">
      <c r="A89">
        <v>2036</v>
      </c>
      <c r="B89" s="107">
        <f t="shared" si="7"/>
        <v>2902.4904255319157</v>
      </c>
      <c r="C89" s="107">
        <f t="shared" si="8"/>
        <v>41081.48936170213</v>
      </c>
      <c r="D89" s="107">
        <f t="shared" si="9"/>
        <v>330571.24207659578</v>
      </c>
      <c r="E89" s="107">
        <f t="shared" si="10"/>
        <v>18897.485106382981</v>
      </c>
      <c r="F89" s="107">
        <f>E89*'eBike hire scheme'!$A$42</f>
        <v>152062.77135523406</v>
      </c>
    </row>
    <row r="90" spans="1:6" x14ac:dyDescent="0.3">
      <c r="A90">
        <v>2037</v>
      </c>
      <c r="B90" s="107">
        <f t="shared" si="7"/>
        <v>2902.4904255319157</v>
      </c>
      <c r="C90" s="107">
        <f t="shared" si="8"/>
        <v>41081.48936170213</v>
      </c>
      <c r="D90" s="107">
        <f t="shared" si="9"/>
        <v>330571.24207659578</v>
      </c>
      <c r="E90" s="107">
        <f t="shared" si="10"/>
        <v>18897.485106382981</v>
      </c>
      <c r="F90" s="107">
        <f>E90*'eBike hire scheme'!$A$42</f>
        <v>152062.77135523406</v>
      </c>
    </row>
    <row r="91" spans="1:6" x14ac:dyDescent="0.3">
      <c r="A91">
        <v>2038</v>
      </c>
      <c r="B91" s="107">
        <f t="shared" si="7"/>
        <v>2902.4904255319157</v>
      </c>
      <c r="C91" s="107">
        <f t="shared" si="8"/>
        <v>41081.48936170213</v>
      </c>
      <c r="D91" s="107">
        <f t="shared" si="9"/>
        <v>330571.24207659578</v>
      </c>
      <c r="E91" s="107">
        <f t="shared" si="10"/>
        <v>18897.485106382981</v>
      </c>
      <c r="F91" s="107">
        <f>E91*'eBike hire scheme'!$A$42</f>
        <v>152062.77135523406</v>
      </c>
    </row>
    <row r="92" spans="1:6" x14ac:dyDescent="0.3">
      <c r="A92" s="155" t="s">
        <v>443</v>
      </c>
      <c r="B92" s="107">
        <f>SUM(B72:B91)</f>
        <v>54784.50678191489</v>
      </c>
      <c r="C92" s="107">
        <f>SUM(C72:C91)</f>
        <v>775413.1117021275</v>
      </c>
      <c r="D92" s="107">
        <f>SUM(D72:D91)</f>
        <v>6239532.1941957474</v>
      </c>
      <c r="E92" s="107">
        <f>SUM(E72:E91)</f>
        <v>356690.03138297878</v>
      </c>
      <c r="F92" s="107">
        <f>SUM(F72:F91)</f>
        <v>2870184.8093300434</v>
      </c>
    </row>
    <row r="93" spans="1:6" x14ac:dyDescent="0.3">
      <c r="C93" s="107">
        <f>C92/20</f>
        <v>38770.655585106375</v>
      </c>
    </row>
    <row r="94" spans="1:6" x14ac:dyDescent="0.3">
      <c r="C94" s="107">
        <f>C93/365</f>
        <v>106.22097420577089</v>
      </c>
    </row>
    <row r="95" spans="1:6" x14ac:dyDescent="0.3">
      <c r="A95" s="1" t="s">
        <v>644</v>
      </c>
    </row>
    <row r="97" spans="1:11" x14ac:dyDescent="0.3">
      <c r="A97" t="str">
        <f>'Smart PT Hubs EV charging'!A57</f>
        <v>Total</v>
      </c>
      <c r="B97" t="str">
        <f>'Smart PT Hubs EV charging'!B57</f>
        <v>Congestion</v>
      </c>
      <c r="C97" t="str">
        <f>'Smart PT Hubs EV charging'!C57</f>
        <v>Infrastructure</v>
      </c>
      <c r="D97" t="str">
        <f>'Smart PT Hubs EV charging'!D57</f>
        <v>Accident</v>
      </c>
      <c r="E97" t="str">
        <f>'Smart PT Hubs EV charging'!E57</f>
        <v>Local Air Quality</v>
      </c>
      <c r="F97" t="str">
        <f>'Smart PT Hubs EV charging'!F57</f>
        <v>Noise</v>
      </c>
      <c r="G97" t="str">
        <f>'Smart PT Hubs EV charging'!G57</f>
        <v>Greenhouse Gases</v>
      </c>
      <c r="H97" t="str">
        <f>'Smart PT Hubs EV charging'!H57</f>
        <v>Indirect Taxation</v>
      </c>
      <c r="I97" t="s">
        <v>449</v>
      </c>
      <c r="J97" t="s">
        <v>450</v>
      </c>
      <c r="K97" t="s">
        <v>82</v>
      </c>
    </row>
    <row r="98" spans="1:11" x14ac:dyDescent="0.3">
      <c r="A98">
        <f t="shared" ref="A98:A99" si="11">A72</f>
        <v>2019</v>
      </c>
      <c r="B98" s="62">
        <f>$F72*('Factors and data'!B272/100)</f>
        <v>25116.328718101257</v>
      </c>
      <c r="C98" s="62">
        <f>$F72*('Factors and data'!C272/100)</f>
        <v>82.02305270752305</v>
      </c>
      <c r="D98" s="62">
        <f>$F72*('Factors and data'!D272/100)</f>
        <v>2460.6915812256912</v>
      </c>
      <c r="E98" s="62">
        <f>$F72*('Factors and data'!E272/100)</f>
        <v>59.235794894964357</v>
      </c>
      <c r="F98" s="62">
        <f>$F72*('Factors and data'!F272/100)</f>
        <v>164.0461054150461</v>
      </c>
      <c r="G98" s="62">
        <f>$F72*('Factors and data'!G272/100)</f>
        <v>619.93464871164156</v>
      </c>
      <c r="H98" s="62">
        <f>$F72*('Factors and data'!H272/100)</f>
        <v>-2997.1086203800337</v>
      </c>
      <c r="I98" s="62">
        <f>SUM(B98:H98)</f>
        <v>25505.151280676091</v>
      </c>
      <c r="J98" s="36">
        <f>SUM(I98/'Factors and data'!$B156)*'Factors and data'!$B$147</f>
        <v>21945.083942326433</v>
      </c>
      <c r="K98" s="36">
        <f>J98*'Factors and data'!C124</f>
        <v>21945.083942326433</v>
      </c>
    </row>
    <row r="99" spans="1:11" x14ac:dyDescent="0.3">
      <c r="A99">
        <f t="shared" si="11"/>
        <v>2020</v>
      </c>
      <c r="B99" s="62">
        <f>$F73*('Factors and data'!B273/100)</f>
        <v>38080.853016445253</v>
      </c>
      <c r="C99" s="62">
        <f>$F73*('Factors and data'!C273/100)</f>
        <v>111.7251014009896</v>
      </c>
      <c r="D99" s="62">
        <f>$F73*('Factors and data'!D273/100)</f>
        <v>3351.753042029688</v>
      </c>
      <c r="E99" s="62">
        <f>$F73*('Factors and data'!E273/100)</f>
        <v>33.266930350848057</v>
      </c>
      <c r="F99" s="62">
        <f>$F73*('Factors and data'!F273/100)</f>
        <v>223.4502028019792</v>
      </c>
      <c r="G99" s="62">
        <f>$F73*('Factors and data'!G273/100)</f>
        <v>696.48559364695154</v>
      </c>
      <c r="H99" s="62">
        <f>$F73*('Factors and data'!H273/100)</f>
        <v>-3299.1437461989635</v>
      </c>
      <c r="I99" s="62">
        <f>SUM(B99:H99)</f>
        <v>39198.390140476746</v>
      </c>
      <c r="J99" s="36">
        <f>SUM(I99/'Factors and data'!$B157)*'Factors and data'!$B$147</f>
        <v>33091.568206230295</v>
      </c>
      <c r="K99" s="36">
        <f>J99*'Factors and data'!C125</f>
        <v>31933.363319012235</v>
      </c>
    </row>
    <row r="100" spans="1:11" x14ac:dyDescent="0.3">
      <c r="A100">
        <f t="shared" ref="A100:A118" si="12">A74</f>
        <v>2021</v>
      </c>
      <c r="B100" s="62">
        <f>$F74*('Factors and data'!B274/100)</f>
        <v>45697.023619734297</v>
      </c>
      <c r="C100" s="62">
        <f>$F74*('Factors and data'!C274/100)</f>
        <v>134.07012168118749</v>
      </c>
      <c r="D100" s="62">
        <f>$F74*('Factors and data'!D274/100)</f>
        <v>4022.1036504356248</v>
      </c>
      <c r="E100" s="62">
        <f>$F74*('Factors and data'!E274/100)</f>
        <v>39.92031642101766</v>
      </c>
      <c r="F100" s="62">
        <f>$F74*('Factors and data'!F274/100)</f>
        <v>268.14024336237497</v>
      </c>
      <c r="G100" s="62">
        <f>$F74*('Factors and data'!G274/100)</f>
        <v>835.78271237634181</v>
      </c>
      <c r="H100" s="62">
        <f>$F74*('Factors and data'!H274/100)</f>
        <v>-3958.9724954387557</v>
      </c>
      <c r="I100" s="62">
        <f t="shared" ref="I100:I117" si="13">SUM(B100:H100)</f>
        <v>47038.068168572085</v>
      </c>
      <c r="J100" s="36">
        <f>SUM(I100/'Factors and data'!$B158)*'Factors and data'!$B$147</f>
        <v>38953.754223574069</v>
      </c>
      <c r="K100" s="36">
        <f>J100*'Factors and data'!C126</f>
        <v>36274.709776847762</v>
      </c>
    </row>
    <row r="101" spans="1:11" x14ac:dyDescent="0.3">
      <c r="A101">
        <f t="shared" si="12"/>
        <v>2022</v>
      </c>
      <c r="B101" s="62">
        <f>$F75*('Factors and data'!B275/100)</f>
        <v>60929.364826312398</v>
      </c>
      <c r="C101" s="62">
        <f>$F75*('Factors and data'!C275/100)</f>
        <v>178.76016224158332</v>
      </c>
      <c r="D101" s="62">
        <f>$F75*('Factors and data'!D275/100)</f>
        <v>5362.8048672474997</v>
      </c>
      <c r="E101" s="62">
        <f>$F75*('Factors and data'!E275/100)</f>
        <v>53.227088561356872</v>
      </c>
      <c r="F101" s="62">
        <f>$F75*('Factors and data'!F275/100)</f>
        <v>357.52032448316663</v>
      </c>
      <c r="G101" s="62">
        <f>$F75*('Factors and data'!G275/100)</f>
        <v>1114.3769498351223</v>
      </c>
      <c r="H101" s="62">
        <f>$F75*('Factors and data'!H275/100)</f>
        <v>-5278.62999391834</v>
      </c>
      <c r="I101" s="62">
        <f t="shared" si="13"/>
        <v>62717.424224762784</v>
      </c>
      <c r="J101" s="36">
        <f>SUM(I101/'Factors and data'!$B159)*'Factors and data'!$B$147</f>
        <v>50959.038739396769</v>
      </c>
      <c r="K101" s="36">
        <f>J101*'Factors and data'!C127</f>
        <v>45793.429270341432</v>
      </c>
    </row>
    <row r="102" spans="1:11" x14ac:dyDescent="0.3">
      <c r="A102">
        <f t="shared" si="12"/>
        <v>2023</v>
      </c>
      <c r="B102" s="62">
        <f>$F76*('Factors and data'!B276/100)</f>
        <v>60929.364826312398</v>
      </c>
      <c r="C102" s="62">
        <f>$F76*('Factors and data'!C276/100)</f>
        <v>178.76016224158332</v>
      </c>
      <c r="D102" s="62">
        <f>$F76*('Factors and data'!D276/100)</f>
        <v>5362.8048672474997</v>
      </c>
      <c r="E102" s="62">
        <f>$F76*('Factors and data'!E276/100)</f>
        <v>53.227088561356872</v>
      </c>
      <c r="F102" s="62">
        <f>$F76*('Factors and data'!F276/100)</f>
        <v>357.52032448316663</v>
      </c>
      <c r="G102" s="62">
        <f>$F76*('Factors and data'!G276/100)</f>
        <v>1114.3769498351223</v>
      </c>
      <c r="H102" s="62">
        <f>$F76*('Factors and data'!H276/100)</f>
        <v>-5278.62999391834</v>
      </c>
      <c r="I102" s="62">
        <f t="shared" si="13"/>
        <v>62717.424224762784</v>
      </c>
      <c r="J102" s="36">
        <f>SUM(I102/'Factors and data'!$B160)*'Factors and data'!$B$147</f>
        <v>49998.7307644783</v>
      </c>
      <c r="K102" s="36">
        <f>J102*'Factors and data'!C128</f>
        <v>43357.899375589492</v>
      </c>
    </row>
    <row r="103" spans="1:11" x14ac:dyDescent="0.3">
      <c r="A103">
        <f t="shared" si="12"/>
        <v>2024</v>
      </c>
      <c r="B103" s="62">
        <f>$F77*('Factors and data'!B277/100)</f>
        <v>60929.364826312398</v>
      </c>
      <c r="C103" s="62">
        <f>$F77*('Factors and data'!C277/100)</f>
        <v>178.76016224158332</v>
      </c>
      <c r="D103" s="62">
        <f>$F77*('Factors and data'!D277/100)</f>
        <v>5362.8048672474997</v>
      </c>
      <c r="E103" s="62">
        <f>$F77*('Factors and data'!E277/100)</f>
        <v>53.227088561356872</v>
      </c>
      <c r="F103" s="62">
        <f>$F77*('Factors and data'!F277/100)</f>
        <v>357.52032448316663</v>
      </c>
      <c r="G103" s="62">
        <f>$F77*('Factors and data'!G277/100)</f>
        <v>1114.3769498351223</v>
      </c>
      <c r="H103" s="62">
        <f>$F77*('Factors and data'!H277/100)</f>
        <v>-5278.62999391834</v>
      </c>
      <c r="I103" s="62">
        <f t="shared" si="13"/>
        <v>62717.424224762784</v>
      </c>
      <c r="J103" s="36">
        <f>SUM(I103/'Factors and data'!$B161)*'Factors and data'!$B$147</f>
        <v>48922.437147239034</v>
      </c>
      <c r="K103" s="36">
        <f>J103*'Factors and data'!C129</f>
        <v>40939.699508262085</v>
      </c>
    </row>
    <row r="104" spans="1:11" x14ac:dyDescent="0.3">
      <c r="A104">
        <f t="shared" si="12"/>
        <v>2025</v>
      </c>
      <c r="B104" s="62">
        <f>$F78*('Factors and data'!B278/100)</f>
        <v>72859.483730891574</v>
      </c>
      <c r="C104" s="62">
        <f>$F78*('Factors and data'!C278/100)</f>
        <v>197.61790598915869</v>
      </c>
      <c r="D104" s="62">
        <f>$F78*('Factors and data'!D278/100)</f>
        <v>5928.5371796747595</v>
      </c>
      <c r="E104" s="62">
        <f>$F78*('Factors and data'!E278/100)</f>
        <v>31.048667284891884</v>
      </c>
      <c r="F104" s="62">
        <f>$F78*('Factors and data'!F278/100)</f>
        <v>395.23581197831737</v>
      </c>
      <c r="G104" s="62">
        <f>$F78*('Factors and data'!G278/100)</f>
        <v>1046.4105557175969</v>
      </c>
      <c r="H104" s="62">
        <f>$F78*('Factors and data'!H278/100)</f>
        <v>-4696.582130313468</v>
      </c>
      <c r="I104" s="62">
        <f t="shared" si="13"/>
        <v>75761.751721222827</v>
      </c>
      <c r="J104" s="36">
        <f>SUM(I104/'Factors and data'!$B162)*'Factors and data'!$B$147</f>
        <v>57825.444788827779</v>
      </c>
      <c r="K104" s="36">
        <f>J104*'Factors and data'!C130</f>
        <v>46696.342110577352</v>
      </c>
    </row>
    <row r="105" spans="1:11" x14ac:dyDescent="0.3">
      <c r="A105">
        <f t="shared" si="12"/>
        <v>2026</v>
      </c>
      <c r="B105" s="62">
        <f>$F79*('Factors and data'!B279/100)</f>
        <v>72859.483730891574</v>
      </c>
      <c r="C105" s="62">
        <f>$F79*('Factors and data'!C279/100)</f>
        <v>197.61790598915869</v>
      </c>
      <c r="D105" s="62">
        <f>$F79*('Factors and data'!D279/100)</f>
        <v>5928.5371796747595</v>
      </c>
      <c r="E105" s="62">
        <f>$F79*('Factors and data'!E279/100)</f>
        <v>31.048667284891884</v>
      </c>
      <c r="F105" s="62">
        <f>$F79*('Factors and data'!F279/100)</f>
        <v>395.23581197831737</v>
      </c>
      <c r="G105" s="62">
        <f>$F79*('Factors and data'!G279/100)</f>
        <v>1046.4105557175969</v>
      </c>
      <c r="H105" s="62">
        <f>$F79*('Factors and data'!H279/100)</f>
        <v>-4696.582130313468</v>
      </c>
      <c r="I105" s="62">
        <f t="shared" si="13"/>
        <v>75761.751721222827</v>
      </c>
      <c r="J105" s="36">
        <f>SUM(I105/'Factors and data'!$B163)*'Factors and data'!$B$147</f>
        <v>56580.670047776701</v>
      </c>
      <c r="K105" s="36">
        <f>J105*'Factors and data'!C131</f>
        <v>44091.947296190949</v>
      </c>
    </row>
    <row r="106" spans="1:11" x14ac:dyDescent="0.3">
      <c r="A106">
        <f t="shared" si="12"/>
        <v>2027</v>
      </c>
      <c r="B106" s="62">
        <f>$F80*('Factors and data'!B280/100)</f>
        <v>72859.483730891574</v>
      </c>
      <c r="C106" s="62">
        <f>$F80*('Factors and data'!C280/100)</f>
        <v>197.61790598915869</v>
      </c>
      <c r="D106" s="62">
        <f>$F80*('Factors and data'!D280/100)</f>
        <v>5928.5371796747595</v>
      </c>
      <c r="E106" s="62">
        <f>$F80*('Factors and data'!E280/100)</f>
        <v>31.048667284891884</v>
      </c>
      <c r="F106" s="62">
        <f>$F80*('Factors and data'!F280/100)</f>
        <v>395.23581197831737</v>
      </c>
      <c r="G106" s="62">
        <f>$F80*('Factors and data'!G280/100)</f>
        <v>1046.4105557175969</v>
      </c>
      <c r="H106" s="62">
        <f>$F80*('Factors and data'!H280/100)</f>
        <v>-4696.582130313468</v>
      </c>
      <c r="I106" s="62">
        <f t="shared" si="13"/>
        <v>75761.751721222827</v>
      </c>
      <c r="J106" s="36">
        <f>SUM(I106/'Factors and data'!$B164)*'Factors and data'!$B$147</f>
        <v>55362.690849096565</v>
      </c>
      <c r="K106" s="36">
        <f>J106*'Factors and data'!C132</f>
        <v>41632.807378497309</v>
      </c>
    </row>
    <row r="107" spans="1:11" x14ac:dyDescent="0.3">
      <c r="A107">
        <f t="shared" si="12"/>
        <v>2028</v>
      </c>
      <c r="B107" s="62">
        <f>$F81*('Factors and data'!B281/100)</f>
        <v>72859.483730891574</v>
      </c>
      <c r="C107" s="62">
        <f>$F81*('Factors and data'!C281/100)</f>
        <v>197.61790598915869</v>
      </c>
      <c r="D107" s="62">
        <f>$F81*('Factors and data'!D281/100)</f>
        <v>5928.5371796747595</v>
      </c>
      <c r="E107" s="62">
        <f>$F81*('Factors and data'!E281/100)</f>
        <v>31.048667284891884</v>
      </c>
      <c r="F107" s="62">
        <f>$F81*('Factors and data'!F281/100)</f>
        <v>395.23581197831737</v>
      </c>
      <c r="G107" s="62">
        <f>$F81*('Factors and data'!G281/100)</f>
        <v>1046.4105557175969</v>
      </c>
      <c r="H107" s="62">
        <f>$F81*('Factors and data'!H281/100)</f>
        <v>-4696.582130313468</v>
      </c>
      <c r="I107" s="62">
        <f t="shared" si="13"/>
        <v>75761.751721222827</v>
      </c>
      <c r="J107" s="36">
        <f>SUM(I107/'Factors and data'!$B165)*'Factors and data'!$B$147</f>
        <v>54170.930380720696</v>
      </c>
      <c r="K107" s="36">
        <f>J107*'Factors and data'!C133</f>
        <v>39310.821056995985</v>
      </c>
    </row>
    <row r="108" spans="1:11" x14ac:dyDescent="0.3">
      <c r="A108">
        <f t="shared" si="12"/>
        <v>2029</v>
      </c>
      <c r="B108" s="62">
        <f>$F82*('Factors and data'!B282/100)</f>
        <v>72859.483730891574</v>
      </c>
      <c r="C108" s="62">
        <f>$F82*('Factors and data'!C282/100)</f>
        <v>197.61790598915869</v>
      </c>
      <c r="D108" s="62">
        <f>$F82*('Factors and data'!D282/100)</f>
        <v>5928.5371796747595</v>
      </c>
      <c r="E108" s="62">
        <f>$F82*('Factors and data'!E282/100)</f>
        <v>31.048667284891884</v>
      </c>
      <c r="F108" s="62">
        <f>$F82*('Factors and data'!F282/100)</f>
        <v>395.23581197831737</v>
      </c>
      <c r="G108" s="62">
        <f>$F82*('Factors and data'!G282/100)</f>
        <v>1046.4105557175969</v>
      </c>
      <c r="H108" s="62">
        <f>$F82*('Factors and data'!H282/100)</f>
        <v>-4696.582130313468</v>
      </c>
      <c r="I108" s="62">
        <f t="shared" si="13"/>
        <v>75761.751721222827</v>
      </c>
      <c r="J108" s="36">
        <f>SUM(I108/'Factors and data'!$B166)*'Factors and data'!$B$147</f>
        <v>53004.824247280536</v>
      </c>
      <c r="K108" s="36">
        <f>J108*'Factors and data'!C134</f>
        <v>37118.338864971753</v>
      </c>
    </row>
    <row r="109" spans="1:11" x14ac:dyDescent="0.3">
      <c r="A109">
        <f t="shared" si="12"/>
        <v>2030</v>
      </c>
      <c r="B109" s="62">
        <f>$F83*('Factors and data'!B283/100)</f>
        <v>87604.609354407847</v>
      </c>
      <c r="C109" s="62">
        <f>$F83*('Factors and data'!C283/100)</f>
        <v>220.3336211519343</v>
      </c>
      <c r="D109" s="62">
        <f>$F83*('Factors and data'!D283/100)</f>
        <v>6610.0086345580276</v>
      </c>
      <c r="E109" s="62">
        <f>$F83*('Factors and data'!E283/100)</f>
        <v>28.539848542496344</v>
      </c>
      <c r="F109" s="62">
        <f>$F83*('Factors and data'!F283/100)</f>
        <v>440.66724230386859</v>
      </c>
      <c r="G109" s="62">
        <f>$F83*('Factors and data'!G283/100)</f>
        <v>965.0689460707481</v>
      </c>
      <c r="H109" s="62">
        <f>$F83*('Factors and data'!H283/100)</f>
        <v>-4059.1900893614584</v>
      </c>
      <c r="I109" s="62">
        <f t="shared" si="13"/>
        <v>91810.037557673466</v>
      </c>
      <c r="J109" s="36">
        <f>SUM(I109/'Factors and data'!$B167)*'Factors and data'!$B$147</f>
        <v>62849.910047306104</v>
      </c>
      <c r="K109" s="36">
        <f>J109*'Factors and data'!C135</f>
        <v>42472.234210407572</v>
      </c>
    </row>
    <row r="110" spans="1:11" x14ac:dyDescent="0.3">
      <c r="A110">
        <f t="shared" si="12"/>
        <v>2031</v>
      </c>
      <c r="B110" s="62">
        <f>$F84*('Factors and data'!B284/100)</f>
        <v>87604.609354407847</v>
      </c>
      <c r="C110" s="62">
        <f>$F84*('Factors and data'!C284/100)</f>
        <v>220.3336211519343</v>
      </c>
      <c r="D110" s="62">
        <f>$F84*('Factors and data'!D284/100)</f>
        <v>6610.0086345580276</v>
      </c>
      <c r="E110" s="62">
        <f>$F84*('Factors and data'!E284/100)</f>
        <v>28.539848542496344</v>
      </c>
      <c r="F110" s="62">
        <f>$F84*('Factors and data'!F284/100)</f>
        <v>440.66724230386859</v>
      </c>
      <c r="G110" s="62">
        <f>$F84*('Factors and data'!G284/100)</f>
        <v>965.0689460707481</v>
      </c>
      <c r="H110" s="62">
        <f>$F84*('Factors and data'!H284/100)</f>
        <v>-4059.1900893614584</v>
      </c>
      <c r="I110" s="62">
        <f t="shared" si="13"/>
        <v>91810.037557673466</v>
      </c>
      <c r="J110" s="36">
        <f>SUM(I110/'Factors and data'!$B168)*'Factors and data'!$B$147</f>
        <v>61496.976562921831</v>
      </c>
      <c r="K110" s="36">
        <f>J110*'Factors and data'!C136</f>
        <v>40103.430541138274</v>
      </c>
    </row>
    <row r="111" spans="1:11" x14ac:dyDescent="0.3">
      <c r="A111">
        <f t="shared" si="12"/>
        <v>2032</v>
      </c>
      <c r="B111" s="62">
        <f>$F85*('Factors and data'!B285/100)</f>
        <v>87604.609354407847</v>
      </c>
      <c r="C111" s="62">
        <f>$F85*('Factors and data'!C285/100)</f>
        <v>220.3336211519343</v>
      </c>
      <c r="D111" s="62">
        <f>$F85*('Factors and data'!D285/100)</f>
        <v>6610.0086345580276</v>
      </c>
      <c r="E111" s="62">
        <f>$F85*('Factors and data'!E285/100)</f>
        <v>28.539848542496344</v>
      </c>
      <c r="F111" s="62">
        <f>$F85*('Factors and data'!F285/100)</f>
        <v>440.66724230386859</v>
      </c>
      <c r="G111" s="62">
        <f>$F85*('Factors and data'!G285/100)</f>
        <v>965.0689460707481</v>
      </c>
      <c r="H111" s="62">
        <f>$F85*('Factors and data'!H285/100)</f>
        <v>-4059.1900893614584</v>
      </c>
      <c r="I111" s="62">
        <f t="shared" si="13"/>
        <v>91810.037557673466</v>
      </c>
      <c r="J111" s="36">
        <f>SUM(I111/'Factors and data'!$B169)*'Factors and data'!$B$147</f>
        <v>60173.166891312925</v>
      </c>
      <c r="K111" s="36">
        <f>J111*'Factors and data'!C137</f>
        <v>37866.74214500824</v>
      </c>
    </row>
    <row r="112" spans="1:11" x14ac:dyDescent="0.3">
      <c r="A112">
        <f t="shared" si="12"/>
        <v>2033</v>
      </c>
      <c r="B112" s="62">
        <f>$F86*('Factors and data'!B286/100)</f>
        <v>87604.609354407847</v>
      </c>
      <c r="C112" s="62">
        <f>$F86*('Factors and data'!C286/100)</f>
        <v>220.3336211519343</v>
      </c>
      <c r="D112" s="62">
        <f>$F86*('Factors and data'!D286/100)</f>
        <v>6610.0086345580276</v>
      </c>
      <c r="E112" s="62">
        <f>$F86*('Factors and data'!E286/100)</f>
        <v>28.539848542496344</v>
      </c>
      <c r="F112" s="62">
        <f>$F86*('Factors and data'!F286/100)</f>
        <v>440.66724230386859</v>
      </c>
      <c r="G112" s="62">
        <f>$F86*('Factors and data'!G286/100)</f>
        <v>965.0689460707481</v>
      </c>
      <c r="H112" s="62">
        <f>$F86*('Factors and data'!H286/100)</f>
        <v>-4059.1900893614584</v>
      </c>
      <c r="I112" s="62">
        <f t="shared" si="13"/>
        <v>91810.037557673466</v>
      </c>
      <c r="J112" s="36">
        <f>SUM(I112/'Factors and data'!$B170)*'Factors and data'!$B$147</f>
        <v>58877.854101088975</v>
      </c>
      <c r="K112" s="36">
        <f>J112*'Factors and data'!C138</f>
        <v>35754.800557664341</v>
      </c>
    </row>
    <row r="113" spans="1:15" x14ac:dyDescent="0.3">
      <c r="A113">
        <f t="shared" si="12"/>
        <v>2034</v>
      </c>
      <c r="B113" s="62">
        <f>$F87*('Factors and data'!B287/100)</f>
        <v>87604.609354407847</v>
      </c>
      <c r="C113" s="62">
        <f>$F87*('Factors and data'!C287/100)</f>
        <v>220.3336211519343</v>
      </c>
      <c r="D113" s="62">
        <f>$F87*('Factors and data'!D287/100)</f>
        <v>6610.0086345580276</v>
      </c>
      <c r="E113" s="62">
        <f>$F87*('Factors and data'!E287/100)</f>
        <v>28.539848542496344</v>
      </c>
      <c r="F113" s="62">
        <f>$F87*('Factors and data'!F287/100)</f>
        <v>440.66724230386859</v>
      </c>
      <c r="G113" s="62">
        <f>$F87*('Factors and data'!G287/100)</f>
        <v>965.0689460707481</v>
      </c>
      <c r="H113" s="62">
        <f>$F87*('Factors and data'!H287/100)</f>
        <v>-4059.1900893614584</v>
      </c>
      <c r="I113" s="62">
        <f t="shared" si="13"/>
        <v>91810.037557673466</v>
      </c>
      <c r="J113" s="36">
        <f>SUM(I113/'Factors and data'!$B171)*'Factors and data'!$B$147</f>
        <v>57610.424756447137</v>
      </c>
      <c r="K113" s="36">
        <f>J113*'Factors and data'!C139</f>
        <v>33760.64827607249</v>
      </c>
    </row>
    <row r="114" spans="1:15" x14ac:dyDescent="0.3">
      <c r="A114">
        <f t="shared" si="12"/>
        <v>2035</v>
      </c>
      <c r="B114" s="62">
        <f>$F88*('Factors and data'!B288/100)</f>
        <v>110065.10741356123</v>
      </c>
      <c r="C114" s="62">
        <f>$F88*('Factors and data'!C288/100)</f>
        <v>245.66045453688488</v>
      </c>
      <c r="D114" s="62">
        <f>$F88*('Factors and data'!D288/100)</f>
        <v>7369.8136361065463</v>
      </c>
      <c r="E114" s="62">
        <f>$F88*('Factors and data'!E288/100)</f>
        <v>29.770704733177631</v>
      </c>
      <c r="F114" s="62">
        <f>$F88*('Factors and data'!F288/100)</f>
        <v>491.32090907376977</v>
      </c>
      <c r="G114" s="62">
        <f>$F88*('Factors and data'!G288/100)</f>
        <v>1295.2314791043218</v>
      </c>
      <c r="H114" s="62">
        <f>$F88*('Factors and data'!H288/100)</f>
        <v>-3750.963081759337</v>
      </c>
      <c r="I114" s="62">
        <f t="shared" si="13"/>
        <v>115745.94151535658</v>
      </c>
      <c r="J114" s="36">
        <f>SUM(I114/'Factors and data'!$B172)*'Factors and data'!$B$147</f>
        <v>71066.640932666603</v>
      </c>
      <c r="K114" s="36">
        <f>J114*'Factors and data'!C140</f>
        <v>40188.593003325368</v>
      </c>
    </row>
    <row r="115" spans="1:15" x14ac:dyDescent="0.3">
      <c r="A115">
        <f t="shared" si="12"/>
        <v>2036</v>
      </c>
      <c r="B115" s="62">
        <f>$F89*('Factors and data'!B289/100)</f>
        <v>110065.10741356123</v>
      </c>
      <c r="C115" s="62">
        <f>$F89*('Factors and data'!C289/100)</f>
        <v>245.66045453688488</v>
      </c>
      <c r="D115" s="62">
        <f>$F89*('Factors and data'!D289/100)</f>
        <v>7369.8136361065463</v>
      </c>
      <c r="E115" s="62">
        <f>$F89*('Factors and data'!E289/100)</f>
        <v>29.770704733177631</v>
      </c>
      <c r="F115" s="62">
        <f>$F89*('Factors and data'!F289/100)</f>
        <v>491.32090907376977</v>
      </c>
      <c r="G115" s="62">
        <f>$F89*('Factors and data'!G289/100)</f>
        <v>1295.2314791043218</v>
      </c>
      <c r="H115" s="62">
        <f>$F89*('Factors and data'!H289/100)</f>
        <v>-3750.963081759337</v>
      </c>
      <c r="I115" s="62">
        <f t="shared" si="13"/>
        <v>115745.94151535658</v>
      </c>
      <c r="J115" s="36">
        <f>SUM(I115/'Factors and data'!$B173)*'Factors and data'!$B$147</f>
        <v>69536.830658186474</v>
      </c>
      <c r="K115" s="36">
        <f>J115*'Factors and data'!C141</f>
        <v>37947.154841691743</v>
      </c>
    </row>
    <row r="116" spans="1:15" x14ac:dyDescent="0.3">
      <c r="A116">
        <f t="shared" si="12"/>
        <v>2037</v>
      </c>
      <c r="B116" s="62">
        <f>$F90*('Factors and data'!B290/100)</f>
        <v>110065.10741356123</v>
      </c>
      <c r="C116" s="62">
        <f>$F90*('Factors and data'!C290/100)</f>
        <v>245.66045453688488</v>
      </c>
      <c r="D116" s="62">
        <f>$F90*('Factors and data'!D290/100)</f>
        <v>7369.8136361065463</v>
      </c>
      <c r="E116" s="62">
        <f>$F90*('Factors and data'!E290/100)</f>
        <v>29.770704733177631</v>
      </c>
      <c r="F116" s="62">
        <f>$F90*('Factors and data'!F290/100)</f>
        <v>491.32090907376977</v>
      </c>
      <c r="G116" s="62">
        <f>$F90*('Factors and data'!G290/100)</f>
        <v>1295.2314791043218</v>
      </c>
      <c r="H116" s="62">
        <f>$F90*('Factors and data'!H290/100)</f>
        <v>-3750.963081759337</v>
      </c>
      <c r="I116" s="62">
        <f t="shared" si="13"/>
        <v>115745.94151535658</v>
      </c>
      <c r="J116" s="36">
        <f>SUM(I116/'Factors and data'!$B174)*'Factors and data'!$B$147</f>
        <v>68039.951720339013</v>
      </c>
      <c r="K116" s="36">
        <f>J116*'Factors and data'!C142</f>
        <v>35830.728397487801</v>
      </c>
    </row>
    <row r="117" spans="1:15" x14ac:dyDescent="0.3">
      <c r="A117">
        <f t="shared" si="12"/>
        <v>2038</v>
      </c>
      <c r="B117" s="62">
        <f>$F91*('Factors and data'!B291/100)</f>
        <v>110065.10741356123</v>
      </c>
      <c r="C117" s="62">
        <f>$F91*('Factors and data'!C291/100)</f>
        <v>245.66045453688488</v>
      </c>
      <c r="D117" s="62">
        <f>$F91*('Factors and data'!D291/100)</f>
        <v>7369.8136361065463</v>
      </c>
      <c r="E117" s="62">
        <f>$F91*('Factors and data'!E291/100)</f>
        <v>29.770704733177631</v>
      </c>
      <c r="F117" s="62">
        <f>$F91*('Factors and data'!F291/100)</f>
        <v>491.32090907376977</v>
      </c>
      <c r="G117" s="62">
        <f>$F91*('Factors and data'!G291/100)</f>
        <v>1295.2314791043218</v>
      </c>
      <c r="H117" s="62">
        <f>$F91*('Factors and data'!H291/100)</f>
        <v>-3750.963081759337</v>
      </c>
      <c r="I117" s="62">
        <f t="shared" si="13"/>
        <v>115745.94151535658</v>
      </c>
      <c r="J117" s="36">
        <f>SUM(I117/'Factors and data'!$B175)*'Factors and data'!$B$147</f>
        <v>66575.295225380643</v>
      </c>
      <c r="K117" s="36">
        <f>J117*'Factors and data'!C143</f>
        <v>33832.341392931237</v>
      </c>
    </row>
    <row r="118" spans="1:15" x14ac:dyDescent="0.3">
      <c r="A118" t="str">
        <f t="shared" si="12"/>
        <v>Totals</v>
      </c>
      <c r="B118" s="62">
        <f>SUM(B98:B117)</f>
        <v>1534263.1949139605</v>
      </c>
      <c r="C118" s="62">
        <f t="shared" ref="C118:J118" si="14">SUM(C98:C117)</f>
        <v>3936.4982163674563</v>
      </c>
      <c r="D118" s="62">
        <f t="shared" si="14"/>
        <v>118094.94649102361</v>
      </c>
      <c r="E118" s="62">
        <f t="shared" si="14"/>
        <v>709.12970542055211</v>
      </c>
      <c r="F118" s="62">
        <f t="shared" si="14"/>
        <v>7872.9964327349126</v>
      </c>
      <c r="G118" s="62">
        <f t="shared" si="14"/>
        <v>20733.657229599306</v>
      </c>
      <c r="H118" s="62">
        <f t="shared" si="14"/>
        <v>-84873.828269184771</v>
      </c>
      <c r="I118" s="62">
        <f t="shared" si="14"/>
        <v>1600736.5947199205</v>
      </c>
      <c r="J118" s="62">
        <f t="shared" si="14"/>
        <v>1097042.2242325968</v>
      </c>
      <c r="K118" s="37">
        <f>SUM(K99:K117)</f>
        <v>744906.03132301359</v>
      </c>
      <c r="L118" s="24" t="s">
        <v>645</v>
      </c>
      <c r="M118" s="13"/>
      <c r="N118" s="13"/>
      <c r="O118" s="13"/>
    </row>
    <row r="121" spans="1:15" x14ac:dyDescent="0.3">
      <c r="A121" s="1" t="s">
        <v>646</v>
      </c>
    </row>
    <row r="122" spans="1:15" x14ac:dyDescent="0.3">
      <c r="A122" t="s">
        <v>648</v>
      </c>
      <c r="B122" s="107">
        <f>C92/20/365</f>
        <v>106.22097420577089</v>
      </c>
    </row>
    <row r="123" spans="1:15" x14ac:dyDescent="0.3">
      <c r="A123" t="s">
        <v>647</v>
      </c>
      <c r="B123" s="36">
        <v>1053330</v>
      </c>
    </row>
    <row r="124" spans="1:15" x14ac:dyDescent="0.3">
      <c r="A124" t="s">
        <v>649</v>
      </c>
      <c r="B124" s="36">
        <v>411120</v>
      </c>
    </row>
    <row r="125" spans="1:15" x14ac:dyDescent="0.3">
      <c r="A125" t="s">
        <v>650</v>
      </c>
      <c r="B125" s="37">
        <f>SUM(B123:B124)</f>
        <v>1464450</v>
      </c>
      <c r="C125" s="24" t="s">
        <v>645</v>
      </c>
      <c r="D125" s="13"/>
    </row>
  </sheetData>
  <mergeCells count="4">
    <mergeCell ref="D5:G5"/>
    <mergeCell ref="D12:G12"/>
    <mergeCell ref="D19:I19"/>
    <mergeCell ref="D26:H26"/>
  </mergeCells>
  <hyperlinks>
    <hyperlink ref="L3" r:id="rId1" xr:uid="{B0A802D7-ED16-4D01-A242-F7ECE5C65AAC}"/>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K364"/>
  <sheetViews>
    <sheetView topLeftCell="A29" zoomScale="70" zoomScaleNormal="70" workbookViewId="0">
      <selection activeCell="A49" sqref="A49"/>
    </sheetView>
  </sheetViews>
  <sheetFormatPr defaultRowHeight="14.4" x14ac:dyDescent="0.3"/>
  <cols>
    <col min="1" max="1" width="53.6640625" customWidth="1"/>
    <col min="2" max="2" width="36" customWidth="1"/>
    <col min="3" max="3" width="23.77734375" customWidth="1"/>
    <col min="4" max="4" width="14" bestFit="1" customWidth="1"/>
    <col min="5" max="5" width="12.88671875" customWidth="1"/>
    <col min="6" max="6" width="9" bestFit="1" customWidth="1"/>
    <col min="7" max="7" width="12.6640625" bestFit="1" customWidth="1"/>
    <col min="8" max="8" width="18.6640625" customWidth="1"/>
    <col min="9" max="9" width="9.5546875" bestFit="1" customWidth="1"/>
    <col min="10" max="10" width="11.6640625" customWidth="1"/>
    <col min="11" max="11" width="13.88671875" bestFit="1" customWidth="1"/>
  </cols>
  <sheetData>
    <row r="1" spans="1:4" x14ac:dyDescent="0.3">
      <c r="A1" s="1" t="s">
        <v>37</v>
      </c>
    </row>
    <row r="2" spans="1:4" x14ac:dyDescent="0.3">
      <c r="A2" s="11" t="s">
        <v>31</v>
      </c>
    </row>
    <row r="3" spans="1:4" x14ac:dyDescent="0.3">
      <c r="A3" t="s">
        <v>1</v>
      </c>
      <c r="B3" s="4">
        <v>0.58699999999999997</v>
      </c>
      <c r="C3" s="4">
        <f>SUM(B3/(B3+B5))</f>
        <v>0.79110512129380051</v>
      </c>
      <c r="D3" t="s">
        <v>134</v>
      </c>
    </row>
    <row r="4" spans="1:4" x14ac:dyDescent="0.3">
      <c r="A4" t="s">
        <v>0</v>
      </c>
      <c r="B4" s="4">
        <v>0.25800000000000001</v>
      </c>
      <c r="D4" t="s">
        <v>3</v>
      </c>
    </row>
    <row r="5" spans="1:4" x14ac:dyDescent="0.3">
      <c r="A5" t="s">
        <v>2</v>
      </c>
      <c r="B5" s="4">
        <f>100%-B3-B4</f>
        <v>0.15500000000000003</v>
      </c>
    </row>
    <row r="7" spans="1:4" x14ac:dyDescent="0.3">
      <c r="A7" t="s">
        <v>284</v>
      </c>
      <c r="B7" s="3">
        <f>B8+B9</f>
        <v>67079463</v>
      </c>
      <c r="D7" t="s">
        <v>285</v>
      </c>
    </row>
    <row r="8" spans="1:4" x14ac:dyDescent="0.3">
      <c r="A8" t="s">
        <v>311</v>
      </c>
      <c r="B8" s="3">
        <v>14842161</v>
      </c>
      <c r="C8" s="32">
        <f>B8/B7</f>
        <v>0.22126237057085565</v>
      </c>
      <c r="D8" t="s">
        <v>312</v>
      </c>
    </row>
    <row r="9" spans="1:4" x14ac:dyDescent="0.3">
      <c r="A9" t="s">
        <v>36</v>
      </c>
      <c r="B9" s="3">
        <v>52237302</v>
      </c>
      <c r="C9" s="32">
        <f>B9/B7</f>
        <v>0.77873762942914437</v>
      </c>
      <c r="D9" t="s">
        <v>282</v>
      </c>
    </row>
    <row r="10" spans="1:4" x14ac:dyDescent="0.3">
      <c r="A10" t="s">
        <v>34</v>
      </c>
      <c r="B10" s="5">
        <f>B11+(B12/2)</f>
        <v>63600000</v>
      </c>
      <c r="D10" t="s">
        <v>35</v>
      </c>
    </row>
    <row r="11" spans="1:4" x14ac:dyDescent="0.3">
      <c r="A11" t="s">
        <v>32</v>
      </c>
      <c r="B11" s="3">
        <v>48600000</v>
      </c>
      <c r="D11" t="s">
        <v>283</v>
      </c>
    </row>
    <row r="12" spans="1:4" x14ac:dyDescent="0.3">
      <c r="A12" t="s">
        <v>33</v>
      </c>
      <c r="B12" s="3">
        <v>30000000</v>
      </c>
      <c r="D12" t="s">
        <v>283</v>
      </c>
    </row>
    <row r="13" spans="1:4" x14ac:dyDescent="0.3">
      <c r="A13" s="30" t="s">
        <v>241</v>
      </c>
      <c r="B13" s="31">
        <f>AVERAGE(B9:B10)</f>
        <v>57918651</v>
      </c>
    </row>
    <row r="14" spans="1:4" x14ac:dyDescent="0.3">
      <c r="A14" s="30" t="s">
        <v>329</v>
      </c>
      <c r="B14" s="31">
        <v>17400000</v>
      </c>
      <c r="D14" t="s">
        <v>283</v>
      </c>
    </row>
    <row r="15" spans="1:4" x14ac:dyDescent="0.3">
      <c r="A15" s="30" t="s">
        <v>330</v>
      </c>
      <c r="B15" s="31">
        <v>26100000</v>
      </c>
      <c r="D15" t="s">
        <v>283</v>
      </c>
    </row>
    <row r="17" spans="1:11" x14ac:dyDescent="0.3">
      <c r="A17" s="1" t="s">
        <v>38</v>
      </c>
      <c r="B17" s="3"/>
      <c r="C17" s="5"/>
      <c r="K17" s="3"/>
    </row>
    <row r="18" spans="1:11" x14ac:dyDescent="0.3">
      <c r="A18" t="s">
        <v>223</v>
      </c>
      <c r="B18" s="5"/>
    </row>
    <row r="19" spans="1:11" x14ac:dyDescent="0.3">
      <c r="A19" t="s">
        <v>42</v>
      </c>
      <c r="B19" s="3">
        <v>7110963</v>
      </c>
      <c r="D19" t="s">
        <v>240</v>
      </c>
    </row>
    <row r="20" spans="1:11" x14ac:dyDescent="0.3">
      <c r="A20" t="s">
        <v>5</v>
      </c>
      <c r="B20" s="5">
        <v>445120</v>
      </c>
      <c r="D20" t="s">
        <v>575</v>
      </c>
      <c r="G20" s="3">
        <v>431200</v>
      </c>
      <c r="H20" t="s">
        <v>41</v>
      </c>
    </row>
    <row r="21" spans="1:11" x14ac:dyDescent="0.3">
      <c r="A21" s="117" t="s">
        <v>43</v>
      </c>
      <c r="B21" s="107">
        <f>SUM(B19:B20)</f>
        <v>7556083</v>
      </c>
      <c r="D21" t="s">
        <v>247</v>
      </c>
      <c r="E21" s="3"/>
    </row>
    <row r="22" spans="1:11" x14ac:dyDescent="0.3">
      <c r="B22" s="3"/>
      <c r="C22" s="5"/>
    </row>
    <row r="23" spans="1:11" x14ac:dyDescent="0.3">
      <c r="A23" s="1" t="s">
        <v>4</v>
      </c>
    </row>
    <row r="24" spans="1:11" x14ac:dyDescent="0.3">
      <c r="A24" s="3">
        <v>240000</v>
      </c>
      <c r="B24" t="s">
        <v>224</v>
      </c>
    </row>
    <row r="26" spans="1:11" x14ac:dyDescent="0.3">
      <c r="A26" s="1" t="s">
        <v>6</v>
      </c>
      <c r="B26" s="1" t="s">
        <v>7</v>
      </c>
      <c r="I26" s="9" t="s">
        <v>16</v>
      </c>
    </row>
    <row r="27" spans="1:11" x14ac:dyDescent="0.3">
      <c r="A27">
        <v>2</v>
      </c>
      <c r="B27" t="s">
        <v>14</v>
      </c>
    </row>
    <row r="28" spans="1:11" x14ac:dyDescent="0.3">
      <c r="A28">
        <v>3</v>
      </c>
      <c r="B28" t="s">
        <v>13</v>
      </c>
    </row>
    <row r="29" spans="1:11" x14ac:dyDescent="0.3">
      <c r="A29">
        <f>AVERAGE(A27:A28)</f>
        <v>2.5</v>
      </c>
      <c r="B29" t="s">
        <v>15</v>
      </c>
    </row>
    <row r="31" spans="1:11" x14ac:dyDescent="0.3">
      <c r="A31" s="1" t="s">
        <v>8</v>
      </c>
      <c r="B31" s="1" t="s">
        <v>9</v>
      </c>
      <c r="I31" s="9" t="s">
        <v>16</v>
      </c>
    </row>
    <row r="32" spans="1:11" x14ac:dyDescent="0.3">
      <c r="A32" s="8">
        <v>19</v>
      </c>
      <c r="B32" t="s">
        <v>10</v>
      </c>
    </row>
    <row r="33" spans="1:9" x14ac:dyDescent="0.3">
      <c r="A33" s="7">
        <v>1.4</v>
      </c>
      <c r="B33" t="s">
        <v>11</v>
      </c>
    </row>
    <row r="34" spans="1:9" x14ac:dyDescent="0.3">
      <c r="A34" s="6">
        <f>100-(100/19*A33)</f>
        <v>92.631578947368425</v>
      </c>
      <c r="B34" t="s">
        <v>12</v>
      </c>
    </row>
    <row r="36" spans="1:9" x14ac:dyDescent="0.3">
      <c r="A36" s="1" t="s">
        <v>17</v>
      </c>
      <c r="B36" s="1" t="s">
        <v>19</v>
      </c>
      <c r="I36" s="9" t="s">
        <v>20</v>
      </c>
    </row>
    <row r="37" spans="1:9" x14ac:dyDescent="0.3">
      <c r="A37">
        <v>10.7</v>
      </c>
      <c r="B37" t="s">
        <v>18</v>
      </c>
      <c r="D37" t="s">
        <v>286</v>
      </c>
    </row>
    <row r="39" spans="1:9" x14ac:dyDescent="0.3">
      <c r="A39" s="1" t="s">
        <v>80</v>
      </c>
    </row>
    <row r="40" spans="1:9" x14ac:dyDescent="0.3">
      <c r="A40" s="29">
        <v>300000</v>
      </c>
      <c r="B40" t="s">
        <v>40</v>
      </c>
      <c r="D40" t="s">
        <v>88</v>
      </c>
    </row>
    <row r="41" spans="1:9" x14ac:dyDescent="0.3">
      <c r="A41" s="29">
        <f>A40/C3</f>
        <v>379216.35434412269</v>
      </c>
      <c r="B41" t="s">
        <v>40</v>
      </c>
      <c r="D41" t="s">
        <v>81</v>
      </c>
    </row>
    <row r="43" spans="1:9" ht="15" customHeight="1" x14ac:dyDescent="0.3">
      <c r="A43" s="1" t="s">
        <v>278</v>
      </c>
    </row>
    <row r="44" spans="1:9" ht="15" customHeight="1" x14ac:dyDescent="0.3">
      <c r="A44" s="15">
        <v>0.1</v>
      </c>
      <c r="B44" t="s">
        <v>70</v>
      </c>
      <c r="D44" t="s">
        <v>277</v>
      </c>
    </row>
    <row r="45" spans="1:9" ht="15" customHeight="1" x14ac:dyDescent="0.3">
      <c r="A45" s="15">
        <v>0.2</v>
      </c>
      <c r="B45" t="s">
        <v>71</v>
      </c>
    </row>
    <row r="46" spans="1:9" x14ac:dyDescent="0.3">
      <c r="A46" s="15">
        <v>0.3</v>
      </c>
      <c r="B46" t="s">
        <v>91</v>
      </c>
      <c r="D46" t="s">
        <v>301</v>
      </c>
    </row>
    <row r="47" spans="1:9" x14ac:dyDescent="0.3">
      <c r="A47" s="16"/>
    </row>
    <row r="48" spans="1:9" x14ac:dyDescent="0.3">
      <c r="A48" s="1" t="s">
        <v>93</v>
      </c>
    </row>
    <row r="49" spans="1:11" x14ac:dyDescent="0.3">
      <c r="A49" s="8">
        <v>16</v>
      </c>
      <c r="B49" t="s">
        <v>94</v>
      </c>
      <c r="D49" t="s">
        <v>95</v>
      </c>
    </row>
    <row r="50" spans="1:11" x14ac:dyDescent="0.3">
      <c r="A50" s="8"/>
    </row>
    <row r="51" spans="1:11" x14ac:dyDescent="0.3">
      <c r="A51" s="1" t="s">
        <v>272</v>
      </c>
    </row>
    <row r="52" spans="1:11" x14ac:dyDescent="0.3">
      <c r="A52" s="8">
        <v>31</v>
      </c>
      <c r="B52" t="s">
        <v>94</v>
      </c>
      <c r="D52" t="s">
        <v>273</v>
      </c>
    </row>
    <row r="54" spans="1:11" x14ac:dyDescent="0.3">
      <c r="A54" s="1" t="s">
        <v>99</v>
      </c>
    </row>
    <row r="55" spans="1:11" x14ac:dyDescent="0.3">
      <c r="A55" s="35">
        <v>1.96</v>
      </c>
      <c r="B55" t="s">
        <v>288</v>
      </c>
      <c r="D55" t="s">
        <v>287</v>
      </c>
    </row>
    <row r="56" spans="1:11" x14ac:dyDescent="0.3">
      <c r="A56" s="35">
        <f>SUM(A55/B154)*B147</f>
        <v>1.747438</v>
      </c>
      <c r="B56" t="s">
        <v>101</v>
      </c>
      <c r="D56" t="s">
        <v>100</v>
      </c>
    </row>
    <row r="57" spans="1:11" x14ac:dyDescent="0.3">
      <c r="A57" s="35"/>
    </row>
    <row r="58" spans="1:11" x14ac:dyDescent="0.3">
      <c r="A58" s="61" t="s">
        <v>140</v>
      </c>
    </row>
    <row r="59" spans="1:11" x14ac:dyDescent="0.3">
      <c r="A59" s="3">
        <v>134275</v>
      </c>
      <c r="B59" t="s">
        <v>143</v>
      </c>
      <c r="K59" t="s">
        <v>141</v>
      </c>
    </row>
    <row r="60" spans="1:11" x14ac:dyDescent="0.3">
      <c r="A60" s="3">
        <v>18980</v>
      </c>
      <c r="B60" t="s">
        <v>225</v>
      </c>
      <c r="K60" t="s">
        <v>141</v>
      </c>
    </row>
    <row r="61" spans="1:11" ht="18.600000000000001" customHeight="1" x14ac:dyDescent="0.3">
      <c r="A61" s="27">
        <f>A59/A60</f>
        <v>7.0745521601685981</v>
      </c>
      <c r="B61" t="s">
        <v>142</v>
      </c>
    </row>
    <row r="62" spans="1:11" x14ac:dyDescent="0.3">
      <c r="A62" s="27"/>
    </row>
    <row r="63" spans="1:11" x14ac:dyDescent="0.3">
      <c r="A63" s="1" t="s">
        <v>289</v>
      </c>
      <c r="B63" t="s">
        <v>157</v>
      </c>
      <c r="C63" t="s">
        <v>150</v>
      </c>
      <c r="D63" t="s">
        <v>151</v>
      </c>
      <c r="E63">
        <v>1.6093440000000001</v>
      </c>
      <c r="F63" t="s">
        <v>158</v>
      </c>
    </row>
    <row r="64" spans="1:11" x14ac:dyDescent="0.3">
      <c r="A64" t="s">
        <v>152</v>
      </c>
      <c r="B64">
        <v>8.6</v>
      </c>
      <c r="C64" s="7">
        <f>B64*$E$63</f>
        <v>13.8403584</v>
      </c>
      <c r="D64" t="s">
        <v>290</v>
      </c>
    </row>
    <row r="65" spans="1:4" x14ac:dyDescent="0.3">
      <c r="A65" t="s">
        <v>153</v>
      </c>
      <c r="B65">
        <v>3.4</v>
      </c>
      <c r="C65" s="7">
        <f t="shared" ref="C65:C68" si="0">B65*$E$63</f>
        <v>5.4717696</v>
      </c>
      <c r="D65" t="s">
        <v>290</v>
      </c>
    </row>
    <row r="66" spans="1:4" x14ac:dyDescent="0.3">
      <c r="A66" t="s">
        <v>154</v>
      </c>
      <c r="B66">
        <v>0.7</v>
      </c>
      <c r="C66" s="7">
        <f t="shared" si="0"/>
        <v>1.1265407999999999</v>
      </c>
      <c r="D66" t="s">
        <v>290</v>
      </c>
    </row>
    <row r="67" spans="1:4" x14ac:dyDescent="0.3">
      <c r="A67" t="s">
        <v>155</v>
      </c>
      <c r="B67">
        <v>3.9</v>
      </c>
      <c r="C67" s="7">
        <f t="shared" si="0"/>
        <v>6.2764416000000001</v>
      </c>
      <c r="D67" t="s">
        <v>275</v>
      </c>
    </row>
    <row r="68" spans="1:4" x14ac:dyDescent="0.3">
      <c r="A68" t="s">
        <v>156</v>
      </c>
      <c r="B68">
        <v>29.3</v>
      </c>
      <c r="C68" s="7">
        <f t="shared" si="0"/>
        <v>47.153779200000002</v>
      </c>
      <c r="D68" t="s">
        <v>290</v>
      </c>
    </row>
    <row r="69" spans="1:4" x14ac:dyDescent="0.3">
      <c r="A69" t="s">
        <v>536</v>
      </c>
      <c r="B69" s="184">
        <v>4.0999999999999996</v>
      </c>
      <c r="C69" s="184">
        <v>6.6</v>
      </c>
      <c r="D69" t="s">
        <v>537</v>
      </c>
    </row>
    <row r="71" spans="1:4" x14ac:dyDescent="0.3">
      <c r="A71" s="1" t="s">
        <v>27</v>
      </c>
      <c r="B71" s="1" t="s">
        <v>291</v>
      </c>
    </row>
    <row r="72" spans="1:4" x14ac:dyDescent="0.3">
      <c r="A72" s="12" t="s">
        <v>28</v>
      </c>
      <c r="B72" s="1"/>
    </row>
    <row r="73" spans="1:4" x14ac:dyDescent="0.3">
      <c r="A73" s="165">
        <v>9.3415356920067225</v>
      </c>
      <c r="B73">
        <v>2019</v>
      </c>
      <c r="C73" t="s">
        <v>72</v>
      </c>
    </row>
    <row r="74" spans="1:4" x14ac:dyDescent="0.3">
      <c r="A74" s="165">
        <v>9.420583297042457</v>
      </c>
      <c r="B74">
        <v>2020</v>
      </c>
      <c r="C74" t="s">
        <v>72</v>
      </c>
    </row>
    <row r="75" spans="1:4" x14ac:dyDescent="0.3">
      <c r="A75" s="165">
        <v>9.5058445635091378</v>
      </c>
      <c r="B75">
        <v>2021</v>
      </c>
      <c r="C75" t="s">
        <v>72</v>
      </c>
    </row>
    <row r="76" spans="1:4" x14ac:dyDescent="0.3">
      <c r="A76" s="165">
        <v>9.5985762231068463</v>
      </c>
      <c r="B76">
        <v>2022</v>
      </c>
      <c r="C76" t="s">
        <v>72</v>
      </c>
    </row>
    <row r="77" spans="1:4" x14ac:dyDescent="0.3">
      <c r="A77" s="165">
        <v>9.7021068693748393</v>
      </c>
      <c r="B77">
        <v>2023</v>
      </c>
      <c r="C77" t="s">
        <v>72</v>
      </c>
    </row>
    <row r="78" spans="1:4" x14ac:dyDescent="0.3">
      <c r="A78" s="165">
        <v>9.8257387886960466</v>
      </c>
      <c r="B78">
        <v>2024</v>
      </c>
      <c r="C78" t="s">
        <v>72</v>
      </c>
    </row>
    <row r="79" spans="1:4" x14ac:dyDescent="0.3">
      <c r="A79" s="165">
        <v>9.9654794818508563</v>
      </c>
      <c r="B79">
        <v>2025</v>
      </c>
      <c r="C79" t="s">
        <v>72</v>
      </c>
    </row>
    <row r="80" spans="1:4" x14ac:dyDescent="0.3">
      <c r="A80" s="165">
        <v>10.119429002323296</v>
      </c>
      <c r="B80">
        <v>2026</v>
      </c>
      <c r="C80" t="s">
        <v>72</v>
      </c>
    </row>
    <row r="81" spans="1:3" x14ac:dyDescent="0.3">
      <c r="A81" s="165">
        <v>10.286987467769416</v>
      </c>
      <c r="B81">
        <v>2027</v>
      </c>
      <c r="C81" t="s">
        <v>72</v>
      </c>
    </row>
    <row r="82" spans="1:3" x14ac:dyDescent="0.3">
      <c r="A82" s="165">
        <v>10.467858737073339</v>
      </c>
      <c r="B82">
        <v>2028</v>
      </c>
      <c r="C82" t="s">
        <v>72</v>
      </c>
    </row>
    <row r="83" spans="1:3" x14ac:dyDescent="0.3">
      <c r="A83" s="165">
        <v>10.656794948966535</v>
      </c>
      <c r="B83">
        <v>2029</v>
      </c>
      <c r="C83" t="s">
        <v>72</v>
      </c>
    </row>
    <row r="84" spans="1:3" x14ac:dyDescent="0.3">
      <c r="A84" s="165">
        <v>10.859211629479033</v>
      </c>
      <c r="B84">
        <v>2030</v>
      </c>
      <c r="C84" t="s">
        <v>72</v>
      </c>
    </row>
    <row r="85" spans="1:3" x14ac:dyDescent="0.3">
      <c r="A85" s="165">
        <v>11.064903858544881</v>
      </c>
      <c r="B85">
        <v>2031</v>
      </c>
      <c r="C85" t="s">
        <v>72</v>
      </c>
    </row>
    <row r="86" spans="1:3" x14ac:dyDescent="0.3">
      <c r="A86" s="165">
        <v>11.273515780811486</v>
      </c>
      <c r="B86">
        <v>2032</v>
      </c>
      <c r="C86" t="s">
        <v>72</v>
      </c>
    </row>
    <row r="87" spans="1:3" x14ac:dyDescent="0.3">
      <c r="A87" s="165">
        <v>11.484263206778953</v>
      </c>
      <c r="B87">
        <v>2033</v>
      </c>
      <c r="C87" t="s">
        <v>72</v>
      </c>
    </row>
    <row r="88" spans="1:3" x14ac:dyDescent="0.3">
      <c r="A88" s="165">
        <v>11.700143713308103</v>
      </c>
      <c r="B88">
        <v>2034</v>
      </c>
      <c r="C88" t="s">
        <v>72</v>
      </c>
    </row>
    <row r="89" spans="1:3" x14ac:dyDescent="0.3">
      <c r="A89" s="165">
        <v>11.923565583957798</v>
      </c>
      <c r="B89">
        <v>2035</v>
      </c>
      <c r="C89" t="s">
        <v>72</v>
      </c>
    </row>
    <row r="90" spans="1:3" x14ac:dyDescent="0.3">
      <c r="A90" s="165">
        <v>12.158450719577962</v>
      </c>
      <c r="B90">
        <v>2036</v>
      </c>
      <c r="C90" t="s">
        <v>72</v>
      </c>
    </row>
    <row r="91" spans="1:3" x14ac:dyDescent="0.3">
      <c r="A91" s="165">
        <v>12.399532652698532</v>
      </c>
      <c r="B91">
        <v>2037</v>
      </c>
      <c r="C91" t="s">
        <v>72</v>
      </c>
    </row>
    <row r="92" spans="1:3" x14ac:dyDescent="0.3">
      <c r="A92" s="165">
        <v>12.645669042058149</v>
      </c>
      <c r="B92">
        <v>2038</v>
      </c>
      <c r="C92" t="s">
        <v>72</v>
      </c>
    </row>
    <row r="93" spans="1:3" x14ac:dyDescent="0.3">
      <c r="A93" s="10"/>
    </row>
    <row r="94" spans="1:3" x14ac:dyDescent="0.3">
      <c r="A94" s="1" t="s">
        <v>431</v>
      </c>
      <c r="B94" s="1" t="s">
        <v>291</v>
      </c>
    </row>
    <row r="95" spans="1:3" x14ac:dyDescent="0.3">
      <c r="A95" s="12" t="s">
        <v>432</v>
      </c>
      <c r="B95" s="1"/>
    </row>
    <row r="96" spans="1:3" x14ac:dyDescent="0.3">
      <c r="A96" s="150" t="s">
        <v>433</v>
      </c>
      <c r="B96" s="150" t="s">
        <v>434</v>
      </c>
      <c r="C96" t="s">
        <v>435</v>
      </c>
    </row>
    <row r="97" spans="1:5" x14ac:dyDescent="0.3">
      <c r="A97" s="166">
        <v>20.93768515409527</v>
      </c>
      <c r="B97" s="27">
        <v>20.116817147581955</v>
      </c>
      <c r="C97" s="27">
        <f>AVERAGE(A97:B97)</f>
        <v>20.527251150838612</v>
      </c>
      <c r="D97">
        <v>2019</v>
      </c>
      <c r="E97" t="s">
        <v>72</v>
      </c>
    </row>
    <row r="98" spans="1:5" x14ac:dyDescent="0.3">
      <c r="A98" s="166">
        <v>21.114858792455358</v>
      </c>
      <c r="B98" s="27">
        <v>20.287044642170326</v>
      </c>
      <c r="C98" s="27">
        <f t="shared" ref="C98:C116" si="1">AVERAGE(A98:B98)</f>
        <v>20.70095171731284</v>
      </c>
      <c r="D98">
        <v>2020</v>
      </c>
      <c r="E98" t="s">
        <v>72</v>
      </c>
    </row>
    <row r="99" spans="1:5" x14ac:dyDescent="0.3">
      <c r="A99" s="166">
        <v>21.305959443566323</v>
      </c>
      <c r="B99" s="27">
        <v>20.470653136943739</v>
      </c>
      <c r="C99" s="27">
        <f t="shared" si="1"/>
        <v>20.888306290255031</v>
      </c>
      <c r="D99">
        <v>2021</v>
      </c>
      <c r="E99" t="s">
        <v>72</v>
      </c>
    </row>
    <row r="100" spans="1:5" x14ac:dyDescent="0.3">
      <c r="A100" s="166">
        <v>21.513803887615808</v>
      </c>
      <c r="B100" s="27">
        <v>20.670348979407322</v>
      </c>
      <c r="C100" s="27">
        <f t="shared" si="1"/>
        <v>21.092076433511565</v>
      </c>
      <c r="D100">
        <v>2022</v>
      </c>
      <c r="E100" t="s">
        <v>72</v>
      </c>
    </row>
    <row r="101" spans="1:5" x14ac:dyDescent="0.3">
      <c r="A101" s="166">
        <v>21.745852679894583</v>
      </c>
      <c r="B101" s="27">
        <v>20.893300231622344</v>
      </c>
      <c r="C101" s="27">
        <f t="shared" si="1"/>
        <v>21.319576455758465</v>
      </c>
      <c r="D101">
        <v>2023</v>
      </c>
      <c r="E101" t="s">
        <v>72</v>
      </c>
    </row>
    <row r="102" spans="1:5" x14ac:dyDescent="0.3">
      <c r="A102" s="166">
        <v>22.022955533974446</v>
      </c>
      <c r="B102" s="27">
        <v>21.159539188105423</v>
      </c>
      <c r="C102" s="27">
        <f t="shared" si="1"/>
        <v>21.591247361039933</v>
      </c>
      <c r="D102">
        <v>2024</v>
      </c>
      <c r="E102" t="s">
        <v>72</v>
      </c>
    </row>
    <row r="103" spans="1:5" x14ac:dyDescent="0.3">
      <c r="A103" s="166">
        <v>22.336163847142267</v>
      </c>
      <c r="B103" s="27">
        <v>21.460468078702824</v>
      </c>
      <c r="C103" s="27">
        <f t="shared" si="1"/>
        <v>21.898315962922545</v>
      </c>
      <c r="D103">
        <v>2025</v>
      </c>
      <c r="E103" t="s">
        <v>72</v>
      </c>
    </row>
    <row r="104" spans="1:5" x14ac:dyDescent="0.3">
      <c r="A104" s="166">
        <v>22.68121916733271</v>
      </c>
      <c r="B104" s="27">
        <v>21.791995405194974</v>
      </c>
      <c r="C104" s="27">
        <f t="shared" si="1"/>
        <v>22.23660728626384</v>
      </c>
      <c r="D104">
        <v>2026</v>
      </c>
      <c r="E104" t="s">
        <v>72</v>
      </c>
    </row>
    <row r="105" spans="1:5" x14ac:dyDescent="0.3">
      <c r="A105" s="166">
        <v>23.05677694606241</v>
      </c>
      <c r="B105" s="27">
        <v>22.15282933251094</v>
      </c>
      <c r="C105" s="27">
        <f t="shared" si="1"/>
        <v>22.604803139286673</v>
      </c>
      <c r="D105">
        <v>2027</v>
      </c>
      <c r="E105" t="s">
        <v>72</v>
      </c>
    </row>
    <row r="106" spans="1:5" x14ac:dyDescent="0.3">
      <c r="A106" s="166">
        <v>23.462173426359282</v>
      </c>
      <c r="B106" s="27">
        <v>22.542332126462849</v>
      </c>
      <c r="C106" s="27">
        <f t="shared" si="1"/>
        <v>23.002252776411066</v>
      </c>
      <c r="D106">
        <v>2028</v>
      </c>
      <c r="E106" t="s">
        <v>72</v>
      </c>
    </row>
    <row r="107" spans="1:5" x14ac:dyDescent="0.3">
      <c r="A107" s="166">
        <v>23.885646295195194</v>
      </c>
      <c r="B107" s="27">
        <v>22.949202618909229</v>
      </c>
      <c r="C107" s="27">
        <f t="shared" si="1"/>
        <v>23.417424457052213</v>
      </c>
      <c r="D107">
        <v>2029</v>
      </c>
      <c r="E107" t="s">
        <v>72</v>
      </c>
    </row>
    <row r="108" spans="1:5" x14ac:dyDescent="0.3">
      <c r="A108" s="166">
        <v>24.33933366162406</v>
      </c>
      <c r="B108" s="27">
        <v>23.385103040825374</v>
      </c>
      <c r="C108" s="27">
        <f t="shared" si="1"/>
        <v>23.862218351224719</v>
      </c>
      <c r="D108">
        <v>2030</v>
      </c>
      <c r="E108" t="s">
        <v>72</v>
      </c>
    </row>
    <row r="109" spans="1:5" x14ac:dyDescent="0.3">
      <c r="A109" s="166">
        <v>24.800362690770715</v>
      </c>
      <c r="B109" s="27">
        <v>23.828057293447547</v>
      </c>
      <c r="C109" s="27">
        <f t="shared" si="1"/>
        <v>24.314209992109131</v>
      </c>
      <c r="D109">
        <v>2031</v>
      </c>
      <c r="E109" t="s">
        <v>72</v>
      </c>
    </row>
    <row r="110" spans="1:5" x14ac:dyDescent="0.3">
      <c r="A110" s="166">
        <v>25.267935784940477</v>
      </c>
      <c r="B110" s="27">
        <v>24.277299049129514</v>
      </c>
      <c r="C110" s="27">
        <f t="shared" si="1"/>
        <v>24.772617417034994</v>
      </c>
      <c r="D110">
        <v>2032</v>
      </c>
      <c r="E110" t="s">
        <v>72</v>
      </c>
    </row>
    <row r="111" spans="1:5" x14ac:dyDescent="0.3">
      <c r="A111" s="166">
        <v>25.740295298132569</v>
      </c>
      <c r="B111" s="27">
        <v>24.731139570890701</v>
      </c>
      <c r="C111" s="27">
        <f t="shared" si="1"/>
        <v>25.235717434511635</v>
      </c>
      <c r="D111">
        <v>2033</v>
      </c>
      <c r="E111" t="s">
        <v>72</v>
      </c>
    </row>
    <row r="112" spans="1:5" x14ac:dyDescent="0.3">
      <c r="A112" s="166">
        <v>26.224159860196131</v>
      </c>
      <c r="B112" s="27">
        <v>25.196034082752423</v>
      </c>
      <c r="C112" s="27">
        <f t="shared" si="1"/>
        <v>25.710096971474279</v>
      </c>
      <c r="D112">
        <v>2034</v>
      </c>
      <c r="E112" t="s">
        <v>72</v>
      </c>
    </row>
    <row r="113" spans="1:5" x14ac:dyDescent="0.3">
      <c r="A113" s="166">
        <v>26.724927286284863</v>
      </c>
      <c r="B113" s="27">
        <v>25.677168776962976</v>
      </c>
      <c r="C113" s="27">
        <f t="shared" si="1"/>
        <v>26.20104803162392</v>
      </c>
      <c r="D113">
        <v>2035</v>
      </c>
      <c r="E113" t="s">
        <v>72</v>
      </c>
    </row>
    <row r="114" spans="1:5" x14ac:dyDescent="0.3">
      <c r="A114" s="166">
        <v>27.251387943198068</v>
      </c>
      <c r="B114" s="27">
        <v>26.182989391447059</v>
      </c>
      <c r="C114" s="27">
        <f t="shared" si="1"/>
        <v>26.717188667322564</v>
      </c>
      <c r="D114">
        <v>2036</v>
      </c>
      <c r="E114" t="s">
        <v>72</v>
      </c>
    </row>
    <row r="115" spans="1:5" x14ac:dyDescent="0.3">
      <c r="A115" s="166">
        <v>27.791737814829812</v>
      </c>
      <c r="B115" s="27">
        <v>26.702154689966655</v>
      </c>
      <c r="C115" s="27">
        <f t="shared" si="1"/>
        <v>27.246946252398232</v>
      </c>
      <c r="D115">
        <v>2037</v>
      </c>
      <c r="E115" t="s">
        <v>72</v>
      </c>
    </row>
    <row r="116" spans="1:5" x14ac:dyDescent="0.3">
      <c r="A116" s="166">
        <v>28.343416510420212</v>
      </c>
      <c r="B116" s="27">
        <v>27.232204662622674</v>
      </c>
      <c r="C116" s="27">
        <f t="shared" si="1"/>
        <v>27.787810586521445</v>
      </c>
      <c r="D116">
        <v>2038</v>
      </c>
      <c r="E116" t="s">
        <v>72</v>
      </c>
    </row>
    <row r="117" spans="1:5" x14ac:dyDescent="0.3">
      <c r="A117" s="10"/>
    </row>
    <row r="118" spans="1:5" x14ac:dyDescent="0.3">
      <c r="A118" s="10"/>
    </row>
    <row r="119" spans="1:5" x14ac:dyDescent="0.3">
      <c r="A119" s="10"/>
    </row>
    <row r="121" spans="1:5" x14ac:dyDescent="0.3">
      <c r="A121" s="1" t="s">
        <v>55</v>
      </c>
    </row>
    <row r="122" spans="1:5" x14ac:dyDescent="0.3">
      <c r="A122" s="16">
        <v>3.5000000000000003E-2</v>
      </c>
      <c r="B122" t="s">
        <v>40</v>
      </c>
      <c r="D122" t="s">
        <v>56</v>
      </c>
    </row>
    <row r="123" spans="1:5" x14ac:dyDescent="0.3">
      <c r="A123" t="s">
        <v>58</v>
      </c>
    </row>
    <row r="124" spans="1:5" x14ac:dyDescent="0.3">
      <c r="A124" s="19">
        <v>2019</v>
      </c>
      <c r="B124" s="19"/>
      <c r="C124" s="20">
        <v>1</v>
      </c>
      <c r="D124" s="19" t="s">
        <v>57</v>
      </c>
    </row>
    <row r="125" spans="1:5" x14ac:dyDescent="0.3">
      <c r="A125" s="19">
        <v>2020</v>
      </c>
      <c r="B125" s="19"/>
      <c r="C125" s="21">
        <f>C124*(1-$A$122)</f>
        <v>0.96499999999999997</v>
      </c>
      <c r="D125" s="19" t="s">
        <v>69</v>
      </c>
    </row>
    <row r="126" spans="1:5" x14ac:dyDescent="0.3">
      <c r="A126" s="19">
        <v>2021</v>
      </c>
      <c r="B126" s="19"/>
      <c r="C126" s="21">
        <f t="shared" ref="C126:C143" si="2">C125*(1-$A$122)</f>
        <v>0.93122499999999997</v>
      </c>
      <c r="D126" s="19" t="s">
        <v>292</v>
      </c>
    </row>
    <row r="127" spans="1:5" x14ac:dyDescent="0.3">
      <c r="A127" s="19">
        <v>2022</v>
      </c>
      <c r="B127" s="19"/>
      <c r="C127" s="21">
        <f t="shared" si="2"/>
        <v>0.89863212499999989</v>
      </c>
      <c r="D127" s="19"/>
    </row>
    <row r="128" spans="1:5" x14ac:dyDescent="0.3">
      <c r="A128" s="19">
        <v>2023</v>
      </c>
      <c r="B128" s="19"/>
      <c r="C128" s="21">
        <f t="shared" si="2"/>
        <v>0.86718000062499989</v>
      </c>
      <c r="D128" s="19"/>
    </row>
    <row r="129" spans="1:4" x14ac:dyDescent="0.3">
      <c r="A129" s="19">
        <v>2024</v>
      </c>
      <c r="B129" s="19"/>
      <c r="C129" s="21">
        <f t="shared" si="2"/>
        <v>0.83682870060312486</v>
      </c>
      <c r="D129" s="19"/>
    </row>
    <row r="130" spans="1:4" x14ac:dyDescent="0.3">
      <c r="A130" s="19">
        <v>2025</v>
      </c>
      <c r="B130" s="19"/>
      <c r="C130" s="21">
        <f t="shared" si="2"/>
        <v>0.80753969608201548</v>
      </c>
      <c r="D130" s="19"/>
    </row>
    <row r="131" spans="1:4" x14ac:dyDescent="0.3">
      <c r="A131" s="19">
        <v>2026</v>
      </c>
      <c r="B131" s="19"/>
      <c r="C131" s="21">
        <f t="shared" si="2"/>
        <v>0.77927580671914487</v>
      </c>
      <c r="D131" s="19"/>
    </row>
    <row r="132" spans="1:4" x14ac:dyDescent="0.3">
      <c r="A132" s="19">
        <v>2027</v>
      </c>
      <c r="B132" s="19"/>
      <c r="C132" s="21">
        <f t="shared" si="2"/>
        <v>0.75200115348397478</v>
      </c>
      <c r="D132" s="19"/>
    </row>
    <row r="133" spans="1:4" x14ac:dyDescent="0.3">
      <c r="A133" s="19">
        <v>2028</v>
      </c>
      <c r="B133" s="19"/>
      <c r="C133" s="21">
        <f t="shared" si="2"/>
        <v>0.72568111311203565</v>
      </c>
      <c r="D133" s="19"/>
    </row>
    <row r="134" spans="1:4" x14ac:dyDescent="0.3">
      <c r="A134" s="19">
        <v>2029</v>
      </c>
      <c r="B134" s="19"/>
      <c r="C134" s="21">
        <f t="shared" si="2"/>
        <v>0.70028227415311439</v>
      </c>
      <c r="D134" s="19"/>
    </row>
    <row r="135" spans="1:4" x14ac:dyDescent="0.3">
      <c r="A135" s="19">
        <v>2030</v>
      </c>
      <c r="B135" s="19"/>
      <c r="C135" s="21">
        <f t="shared" si="2"/>
        <v>0.6757723945577554</v>
      </c>
      <c r="D135" s="19"/>
    </row>
    <row r="136" spans="1:4" x14ac:dyDescent="0.3">
      <c r="A136" s="19">
        <v>2031</v>
      </c>
      <c r="B136" s="19"/>
      <c r="C136" s="21">
        <f t="shared" si="2"/>
        <v>0.65212036074823398</v>
      </c>
      <c r="D136" s="19"/>
    </row>
    <row r="137" spans="1:4" x14ac:dyDescent="0.3">
      <c r="A137" s="19">
        <v>2032</v>
      </c>
      <c r="B137" s="19"/>
      <c r="C137" s="21">
        <f t="shared" si="2"/>
        <v>0.62929614812204582</v>
      </c>
      <c r="D137" s="19"/>
    </row>
    <row r="138" spans="1:4" x14ac:dyDescent="0.3">
      <c r="A138" s="19">
        <v>2033</v>
      </c>
      <c r="B138" s="19"/>
      <c r="C138" s="21">
        <f t="shared" si="2"/>
        <v>0.60727078293777415</v>
      </c>
      <c r="D138" s="19"/>
    </row>
    <row r="139" spans="1:4" x14ac:dyDescent="0.3">
      <c r="A139" s="19">
        <v>2034</v>
      </c>
      <c r="B139" s="19"/>
      <c r="C139" s="21">
        <f t="shared" si="2"/>
        <v>0.58601630553495199</v>
      </c>
      <c r="D139" s="19"/>
    </row>
    <row r="140" spans="1:4" x14ac:dyDescent="0.3">
      <c r="A140" s="19">
        <v>2035</v>
      </c>
      <c r="B140" s="19"/>
      <c r="C140" s="21">
        <f t="shared" si="2"/>
        <v>0.56550573484122868</v>
      </c>
      <c r="D140" s="19"/>
    </row>
    <row r="141" spans="1:4" x14ac:dyDescent="0.3">
      <c r="A141" s="19">
        <v>2036</v>
      </c>
      <c r="B141" s="19"/>
      <c r="C141" s="21">
        <f t="shared" si="2"/>
        <v>0.54571303412178562</v>
      </c>
      <c r="D141" s="19"/>
    </row>
    <row r="142" spans="1:4" x14ac:dyDescent="0.3">
      <c r="A142" s="19">
        <v>2037</v>
      </c>
      <c r="B142" s="19"/>
      <c r="C142" s="21">
        <f t="shared" si="2"/>
        <v>0.5266130779275231</v>
      </c>
      <c r="D142" s="19"/>
    </row>
    <row r="143" spans="1:4" x14ac:dyDescent="0.3">
      <c r="A143" s="19">
        <v>2038</v>
      </c>
      <c r="B143" s="19"/>
      <c r="C143" s="21">
        <f t="shared" si="2"/>
        <v>0.50818162020005975</v>
      </c>
      <c r="D143" s="19"/>
    </row>
    <row r="144" spans="1:4" x14ac:dyDescent="0.3">
      <c r="A144" s="19"/>
      <c r="B144" s="19"/>
      <c r="C144" s="22"/>
      <c r="D144" s="19"/>
    </row>
    <row r="145" spans="1:4" x14ac:dyDescent="0.3">
      <c r="A145" s="19"/>
      <c r="B145" s="19"/>
      <c r="C145" s="22"/>
      <c r="D145" s="19"/>
    </row>
    <row r="146" spans="1:4" x14ac:dyDescent="0.3">
      <c r="A146" s="25" t="s">
        <v>73</v>
      </c>
      <c r="B146" s="1" t="s">
        <v>74</v>
      </c>
      <c r="C146" s="22"/>
      <c r="D146" s="19"/>
    </row>
    <row r="147" spans="1:4" x14ac:dyDescent="0.3">
      <c r="A147" s="19">
        <v>2010</v>
      </c>
      <c r="B147" s="26">
        <v>100</v>
      </c>
      <c r="D147" s="19"/>
    </row>
    <row r="148" spans="1:4" x14ac:dyDescent="0.3">
      <c r="A148" s="19">
        <v>2011</v>
      </c>
      <c r="B148" s="26">
        <v>101.92069990466041</v>
      </c>
      <c r="D148" s="19"/>
    </row>
    <row r="149" spans="1:4" x14ac:dyDescent="0.3">
      <c r="A149" s="19">
        <v>2012</v>
      </c>
      <c r="B149" s="26">
        <v>103.50939375245358</v>
      </c>
      <c r="D149" s="19"/>
    </row>
    <row r="150" spans="1:4" x14ac:dyDescent="0.3">
      <c r="A150" s="19">
        <v>2013</v>
      </c>
      <c r="B150" s="26">
        <v>105.44018843587011</v>
      </c>
      <c r="D150" s="19"/>
    </row>
    <row r="151" spans="1:4" x14ac:dyDescent="0.3">
      <c r="A151" s="19">
        <v>2014</v>
      </c>
      <c r="B151" s="26">
        <v>107.24849980371263</v>
      </c>
      <c r="D151" s="19"/>
    </row>
    <row r="152" spans="1:4" x14ac:dyDescent="0.3">
      <c r="A152" s="19">
        <v>2015</v>
      </c>
      <c r="B152" s="26">
        <v>107.71577589591162</v>
      </c>
      <c r="D152" s="19"/>
    </row>
    <row r="153" spans="1:4" x14ac:dyDescent="0.3">
      <c r="A153" s="19">
        <v>2016</v>
      </c>
      <c r="B153" s="26">
        <v>109.93225281812573</v>
      </c>
      <c r="D153" s="19"/>
    </row>
    <row r="154" spans="1:4" x14ac:dyDescent="0.3">
      <c r="A154" s="19">
        <v>2017</v>
      </c>
      <c r="B154" s="26">
        <v>112.1642084010992</v>
      </c>
      <c r="D154" s="19"/>
    </row>
    <row r="155" spans="1:4" x14ac:dyDescent="0.3">
      <c r="A155">
        <v>2018</v>
      </c>
      <c r="B155" s="27">
        <v>114.2414591155559</v>
      </c>
    </row>
    <row r="156" spans="1:4" x14ac:dyDescent="0.3">
      <c r="A156">
        <v>2019</v>
      </c>
      <c r="B156" s="27">
        <v>116.22261891413046</v>
      </c>
    </row>
    <row r="157" spans="1:4" x14ac:dyDescent="0.3">
      <c r="A157">
        <v>2020</v>
      </c>
      <c r="B157" s="27">
        <v>118.45431409048996</v>
      </c>
    </row>
    <row r="158" spans="1:4" x14ac:dyDescent="0.3">
      <c r="A158">
        <v>2021</v>
      </c>
      <c r="B158" s="27">
        <v>120.75361953201815</v>
      </c>
    </row>
    <row r="159" spans="1:4" x14ac:dyDescent="0.3">
      <c r="A159">
        <v>2022</v>
      </c>
      <c r="B159" s="27">
        <v>123.07419012650161</v>
      </c>
    </row>
    <row r="160" spans="1:4" x14ac:dyDescent="0.3">
      <c r="A160">
        <v>2023</v>
      </c>
      <c r="B160" s="27">
        <v>125.43803265766201</v>
      </c>
    </row>
    <row r="161" spans="1:2" x14ac:dyDescent="0.3">
      <c r="A161">
        <v>2024</v>
      </c>
      <c r="B161" s="27">
        <v>128.19766937613056</v>
      </c>
    </row>
    <row r="162" spans="1:2" x14ac:dyDescent="0.3">
      <c r="A162">
        <v>2025</v>
      </c>
      <c r="B162" s="27">
        <v>131.01801810240542</v>
      </c>
    </row>
    <row r="163" spans="1:2" x14ac:dyDescent="0.3">
      <c r="A163">
        <v>2026</v>
      </c>
      <c r="B163" s="27">
        <v>133.90041450065831</v>
      </c>
    </row>
    <row r="164" spans="1:2" x14ac:dyDescent="0.3">
      <c r="A164">
        <v>2027</v>
      </c>
      <c r="B164" s="27">
        <v>136.84622361967283</v>
      </c>
    </row>
    <row r="165" spans="1:2" x14ac:dyDescent="0.3">
      <c r="A165">
        <v>2028</v>
      </c>
      <c r="B165" s="27">
        <v>139.85684053930564</v>
      </c>
    </row>
    <row r="166" spans="1:2" x14ac:dyDescent="0.3">
      <c r="A166">
        <v>2029</v>
      </c>
      <c r="B166" s="27">
        <v>142.93369103117035</v>
      </c>
    </row>
    <row r="167" spans="1:2" x14ac:dyDescent="0.3">
      <c r="A167">
        <v>2030</v>
      </c>
      <c r="B167" s="27">
        <v>146.07823223385608</v>
      </c>
    </row>
    <row r="168" spans="1:2" x14ac:dyDescent="0.3">
      <c r="A168">
        <v>2031</v>
      </c>
      <c r="B168" s="27">
        <v>149.29195334300093</v>
      </c>
    </row>
    <row r="169" spans="1:2" x14ac:dyDescent="0.3">
      <c r="A169">
        <v>2032</v>
      </c>
      <c r="B169" s="27">
        <v>152.57637631654697</v>
      </c>
    </row>
    <row r="170" spans="1:2" x14ac:dyDescent="0.3">
      <c r="A170">
        <v>2033</v>
      </c>
      <c r="B170" s="27">
        <v>155.933056595511</v>
      </c>
    </row>
    <row r="171" spans="1:2" x14ac:dyDescent="0.3">
      <c r="A171">
        <v>2034</v>
      </c>
      <c r="B171" s="27">
        <v>159.36358384061225</v>
      </c>
    </row>
    <row r="172" spans="1:2" x14ac:dyDescent="0.3">
      <c r="A172">
        <v>2035</v>
      </c>
      <c r="B172" s="27">
        <v>162.86958268510568</v>
      </c>
    </row>
    <row r="173" spans="1:2" x14ac:dyDescent="0.3">
      <c r="A173">
        <v>2036</v>
      </c>
      <c r="B173" s="27">
        <v>166.45271350417804</v>
      </c>
    </row>
    <row r="174" spans="1:2" x14ac:dyDescent="0.3">
      <c r="A174">
        <v>2037</v>
      </c>
      <c r="B174" s="27">
        <v>170.11467320126997</v>
      </c>
    </row>
    <row r="175" spans="1:2" x14ac:dyDescent="0.3">
      <c r="A175">
        <v>2038</v>
      </c>
      <c r="B175" s="27">
        <v>173.85719601169791</v>
      </c>
    </row>
    <row r="178" spans="1:7" x14ac:dyDescent="0.3">
      <c r="A178" s="1" t="s">
        <v>120</v>
      </c>
      <c r="B178" s="1" t="s">
        <v>121</v>
      </c>
    </row>
    <row r="179" spans="1:7" ht="15" thickBot="1" x14ac:dyDescent="0.35"/>
    <row r="180" spans="1:7" ht="15" thickTop="1" x14ac:dyDescent="0.3">
      <c r="A180" s="38" t="s">
        <v>106</v>
      </c>
      <c r="B180" s="39" t="s">
        <v>107</v>
      </c>
      <c r="C180" s="39"/>
      <c r="D180" s="39"/>
      <c r="E180" s="40"/>
    </row>
    <row r="181" spans="1:7" ht="15" thickBot="1" x14ac:dyDescent="0.35">
      <c r="A181" s="41"/>
      <c r="B181" s="42" t="str">
        <f>"(litres per km, " &amp; C169 &amp; ")"</f>
        <v>(litres per km, )</v>
      </c>
      <c r="C181" s="42"/>
      <c r="D181" s="42"/>
      <c r="E181" s="43"/>
    </row>
    <row r="182" spans="1:7" ht="15.6" thickTop="1" thickBot="1" x14ac:dyDescent="0.35">
      <c r="A182" s="44"/>
      <c r="B182" s="45" t="s">
        <v>108</v>
      </c>
      <c r="C182" s="45"/>
      <c r="D182" s="45"/>
      <c r="E182" s="46"/>
    </row>
    <row r="183" spans="1:7" ht="15.6" thickTop="1" thickBot="1" x14ac:dyDescent="0.35">
      <c r="A183" s="47" t="s">
        <v>109</v>
      </c>
      <c r="B183" s="48" t="s">
        <v>110</v>
      </c>
      <c r="C183" s="48" t="s">
        <v>111</v>
      </c>
      <c r="D183" s="48" t="s">
        <v>105</v>
      </c>
      <c r="E183" s="48" t="s">
        <v>112</v>
      </c>
    </row>
    <row r="184" spans="1:7" ht="15" thickTop="1" x14ac:dyDescent="0.3">
      <c r="A184" s="49" t="s">
        <v>113</v>
      </c>
      <c r="B184" s="50">
        <v>1.180114976286128</v>
      </c>
      <c r="C184" s="50">
        <v>4.6394755347269515E-2</v>
      </c>
      <c r="D184" s="50">
        <v>-8.5803541308631211E-5</v>
      </c>
      <c r="E184" s="51">
        <v>2.582097775733862E-6</v>
      </c>
    </row>
    <row r="185" spans="1:7" x14ac:dyDescent="0.3">
      <c r="A185" s="52" t="s">
        <v>114</v>
      </c>
      <c r="B185" s="53">
        <v>0.51887494595916128</v>
      </c>
      <c r="C185" s="53">
        <v>6.5559191279250639E-2</v>
      </c>
      <c r="D185" s="53">
        <v>-6.2308156326426232E-4</v>
      </c>
      <c r="E185" s="54">
        <v>4.8992721130348154E-6</v>
      </c>
    </row>
    <row r="186" spans="1:7" x14ac:dyDescent="0.3">
      <c r="A186" s="52" t="s">
        <v>237</v>
      </c>
      <c r="B186" s="53">
        <f>AVERAGE(B184:B185)</f>
        <v>0.84949496112264467</v>
      </c>
      <c r="C186" s="53">
        <f>AVERAGE(C184:C185)</f>
        <v>5.5976973313260077E-2</v>
      </c>
      <c r="D186" s="53">
        <f>AVERAGE(D184:D185)</f>
        <v>-3.5444255228644678E-4</v>
      </c>
      <c r="E186" s="53">
        <f>AVERAGE(E184:E185)</f>
        <v>3.7406849443843387E-6</v>
      </c>
      <c r="G186" t="s">
        <v>234</v>
      </c>
    </row>
    <row r="187" spans="1:7" x14ac:dyDescent="0.3">
      <c r="A187" s="52" t="s">
        <v>115</v>
      </c>
      <c r="B187" s="53">
        <v>2.0567863033665263</v>
      </c>
      <c r="C187" s="53">
        <v>3.6403260467395997E-2</v>
      </c>
      <c r="D187" s="53">
        <v>7.1679253957251945E-5</v>
      </c>
      <c r="E187" s="54">
        <v>3.9166630317538334E-6</v>
      </c>
      <c r="G187" t="s">
        <v>235</v>
      </c>
    </row>
    <row r="188" spans="1:7" x14ac:dyDescent="0.3">
      <c r="A188" s="52" t="s">
        <v>116</v>
      </c>
      <c r="B188" s="53">
        <v>1.4727509642628025</v>
      </c>
      <c r="C188" s="53">
        <v>3.5295623272879925E-2</v>
      </c>
      <c r="D188" s="53">
        <v>-2.4246843636030222E-4</v>
      </c>
      <c r="E188" s="54">
        <v>8.0899458558350612E-6</v>
      </c>
      <c r="G188" t="s">
        <v>236</v>
      </c>
    </row>
    <row r="189" spans="1:7" x14ac:dyDescent="0.3">
      <c r="A189" s="52" t="s">
        <v>117</v>
      </c>
      <c r="B189" s="53">
        <v>1.9113656808586978</v>
      </c>
      <c r="C189" s="53">
        <v>0.34453272782664107</v>
      </c>
      <c r="D189" s="53">
        <v>-5.2165511085860393E-3</v>
      </c>
      <c r="E189" s="54">
        <v>4.48970555813548E-5</v>
      </c>
    </row>
    <row r="190" spans="1:7" x14ac:dyDescent="0.3">
      <c r="A190" s="52" t="s">
        <v>118</v>
      </c>
      <c r="B190" s="53">
        <v>3.0504318139360054</v>
      </c>
      <c r="C190" s="53">
        <v>0.63625724830034991</v>
      </c>
      <c r="D190" s="53">
        <v>-9.1060147599352284E-3</v>
      </c>
      <c r="E190" s="54">
        <v>6.8638646161859237E-5</v>
      </c>
    </row>
    <row r="191" spans="1:7" ht="15" thickBot="1" x14ac:dyDescent="0.35">
      <c r="A191" s="55" t="s">
        <v>119</v>
      </c>
      <c r="B191" s="56">
        <v>6.3048434048502084</v>
      </c>
      <c r="C191" s="56">
        <v>0.25859987106781779</v>
      </c>
      <c r="D191" s="56">
        <v>-3.2314515820759102E-3</v>
      </c>
      <c r="E191" s="57">
        <v>3.2277528763177472E-5</v>
      </c>
    </row>
    <row r="192" spans="1:7" ht="15" thickTop="1" x14ac:dyDescent="0.3"/>
    <row r="193" spans="1:8" x14ac:dyDescent="0.3">
      <c r="A193" s="1" t="s">
        <v>133</v>
      </c>
    </row>
    <row r="194" spans="1:8" x14ac:dyDescent="0.3">
      <c r="C194" t="s">
        <v>123</v>
      </c>
      <c r="D194" t="s">
        <v>124</v>
      </c>
      <c r="E194" t="s">
        <v>238</v>
      </c>
      <c r="F194" t="s">
        <v>125</v>
      </c>
      <c r="G194" t="s">
        <v>126</v>
      </c>
      <c r="H194" t="s">
        <v>126</v>
      </c>
    </row>
    <row r="195" spans="1:8" x14ac:dyDescent="0.3">
      <c r="F195" t="s">
        <v>127</v>
      </c>
      <c r="G195" t="s">
        <v>128</v>
      </c>
      <c r="H195" t="s">
        <v>129</v>
      </c>
    </row>
    <row r="196" spans="1:8" x14ac:dyDescent="0.3">
      <c r="A196" t="s">
        <v>130</v>
      </c>
      <c r="C196" t="s">
        <v>131</v>
      </c>
      <c r="D196" t="s">
        <v>131</v>
      </c>
      <c r="E196" t="s">
        <v>131</v>
      </c>
      <c r="F196" t="s">
        <v>131</v>
      </c>
      <c r="G196" t="s">
        <v>132</v>
      </c>
      <c r="H196" t="s">
        <v>132</v>
      </c>
    </row>
    <row r="197" spans="1:8" x14ac:dyDescent="0.3">
      <c r="A197">
        <v>2010</v>
      </c>
      <c r="C197">
        <v>2.2299199768831395</v>
      </c>
      <c r="D197">
        <v>2.5617129175583555</v>
      </c>
      <c r="E197">
        <f>AVERAGE(C197:D197)</f>
        <v>2.3958164472207475</v>
      </c>
      <c r="F197">
        <v>2.9257703749999999</v>
      </c>
      <c r="G197">
        <v>0.38937841888483038</v>
      </c>
      <c r="H197">
        <v>0.36250442113580411</v>
      </c>
    </row>
    <row r="198" spans="1:8" x14ac:dyDescent="0.3">
      <c r="A198">
        <v>2011</v>
      </c>
      <c r="C198">
        <v>2.2111007756537502</v>
      </c>
      <c r="D198">
        <v>2.5665344417062501</v>
      </c>
      <c r="E198">
        <f t="shared" ref="E198:E225" si="3">AVERAGE(C198:D198)</f>
        <v>2.3888176086800001</v>
      </c>
      <c r="F198">
        <v>2.9257703749999999</v>
      </c>
      <c r="G198">
        <v>0.38377758893819225</v>
      </c>
      <c r="H198">
        <v>0.35568372953447902</v>
      </c>
    </row>
    <row r="199" spans="1:8" x14ac:dyDescent="0.3">
      <c r="A199">
        <v>2012</v>
      </c>
      <c r="C199">
        <v>2.210582655733675</v>
      </c>
      <c r="D199">
        <v>2.6087021457169537</v>
      </c>
      <c r="E199">
        <f t="shared" si="3"/>
        <v>2.4096424007253141</v>
      </c>
      <c r="F199">
        <v>2.9257703749999999</v>
      </c>
      <c r="G199">
        <v>0.37657132794163034</v>
      </c>
      <c r="H199">
        <v>0.34847589599259055</v>
      </c>
    </row>
    <row r="200" spans="1:8" x14ac:dyDescent="0.3">
      <c r="A200">
        <v>2013</v>
      </c>
      <c r="C200">
        <v>2.2009017860009048</v>
      </c>
      <c r="D200">
        <v>2.5973386501148656</v>
      </c>
      <c r="E200">
        <f t="shared" si="3"/>
        <v>2.3991202180578854</v>
      </c>
      <c r="F200">
        <v>2.8518362828182298</v>
      </c>
      <c r="G200">
        <v>0.36739163602512309</v>
      </c>
      <c r="H200">
        <v>0.34085894636280811</v>
      </c>
    </row>
    <row r="201" spans="1:8" x14ac:dyDescent="0.3">
      <c r="A201">
        <v>2014</v>
      </c>
      <c r="C201">
        <v>2.1890887342243337</v>
      </c>
      <c r="D201">
        <v>2.6013091383329261</v>
      </c>
      <c r="E201">
        <f t="shared" si="3"/>
        <v>2.3951989362786299</v>
      </c>
      <c r="F201">
        <v>2.8559245042628429</v>
      </c>
      <c r="G201">
        <v>0.36044300365091569</v>
      </c>
      <c r="H201">
        <v>0.33280965924685701</v>
      </c>
    </row>
    <row r="202" spans="1:8" x14ac:dyDescent="0.3">
      <c r="A202">
        <v>2015</v>
      </c>
      <c r="C202">
        <v>2.1890887342243337</v>
      </c>
      <c r="D202">
        <v>2.6014175797454899</v>
      </c>
      <c r="E202">
        <f t="shared" si="3"/>
        <v>2.3952531569849116</v>
      </c>
      <c r="F202">
        <v>2.8560361611886367</v>
      </c>
      <c r="G202">
        <v>0.3502378394849775</v>
      </c>
      <c r="H202">
        <v>0.32430349520164908</v>
      </c>
    </row>
    <row r="203" spans="1:8" x14ac:dyDescent="0.3">
      <c r="A203">
        <v>2016</v>
      </c>
      <c r="C203">
        <v>2.1890887342243337</v>
      </c>
      <c r="D203">
        <v>2.6015089173819628</v>
      </c>
      <c r="E203">
        <f t="shared" si="3"/>
        <v>2.395298825803148</v>
      </c>
      <c r="F203">
        <v>2.856130207175835</v>
      </c>
      <c r="G203">
        <v>0.33978897261214219</v>
      </c>
      <c r="H203">
        <v>0.31531452192715809</v>
      </c>
    </row>
    <row r="204" spans="1:8" x14ac:dyDescent="0.3">
      <c r="A204">
        <v>2017</v>
      </c>
      <c r="C204">
        <v>2.1595005987432501</v>
      </c>
      <c r="D204">
        <v>2.5561288764705132</v>
      </c>
      <c r="E204">
        <f t="shared" si="3"/>
        <v>2.3578147376068816</v>
      </c>
      <c r="F204">
        <v>2.809404553749201</v>
      </c>
      <c r="G204">
        <v>0.32955246692810952</v>
      </c>
      <c r="H204">
        <v>0.30581533520796539</v>
      </c>
    </row>
    <row r="205" spans="1:8" x14ac:dyDescent="0.3">
      <c r="A205">
        <v>2018</v>
      </c>
      <c r="C205">
        <v>2.1299124632621669</v>
      </c>
      <c r="D205">
        <v>2.5107488355590641</v>
      </c>
      <c r="E205">
        <f t="shared" si="3"/>
        <v>2.3203306494106153</v>
      </c>
      <c r="F205">
        <v>2.7626789003225665</v>
      </c>
      <c r="G205">
        <v>0.31873493795395558</v>
      </c>
      <c r="H205">
        <v>0.29577697536745345</v>
      </c>
    </row>
    <row r="206" spans="1:8" x14ac:dyDescent="0.3">
      <c r="A206">
        <v>2019</v>
      </c>
      <c r="C206">
        <v>2.1003243277810837</v>
      </c>
      <c r="D206">
        <v>2.4653687946476155</v>
      </c>
      <c r="E206">
        <f t="shared" si="3"/>
        <v>2.2828465612143498</v>
      </c>
      <c r="F206">
        <v>2.7159532468959324</v>
      </c>
      <c r="G206">
        <v>0.30730340685158014</v>
      </c>
      <c r="H206">
        <v>0.28516883897994511</v>
      </c>
    </row>
    <row r="207" spans="1:8" x14ac:dyDescent="0.3">
      <c r="A207">
        <v>2020</v>
      </c>
      <c r="C207">
        <v>2.0707361923000001</v>
      </c>
      <c r="D207">
        <v>2.4199887537361664</v>
      </c>
      <c r="E207">
        <f t="shared" si="3"/>
        <v>2.2453624730180834</v>
      </c>
      <c r="F207">
        <v>2.6692275934692988</v>
      </c>
      <c r="G207">
        <v>0.29522302290652147</v>
      </c>
      <c r="H207">
        <v>0.27395858557163133</v>
      </c>
    </row>
    <row r="208" spans="1:8" x14ac:dyDescent="0.3">
      <c r="A208">
        <v>2021</v>
      </c>
      <c r="C208">
        <v>2.0707361923000001</v>
      </c>
      <c r="D208">
        <v>2.4199887537361664</v>
      </c>
      <c r="E208">
        <f t="shared" si="3"/>
        <v>2.2453624730180834</v>
      </c>
      <c r="F208">
        <v>2.6692275934692988</v>
      </c>
      <c r="G208">
        <v>0.28245695728039499</v>
      </c>
      <c r="H208">
        <v>0.26211203902585051</v>
      </c>
    </row>
    <row r="209" spans="1:8" x14ac:dyDescent="0.3">
      <c r="A209">
        <v>2022</v>
      </c>
      <c r="C209">
        <v>2.0707361923000001</v>
      </c>
      <c r="D209">
        <v>2.4199887537361664</v>
      </c>
      <c r="E209">
        <f t="shared" si="3"/>
        <v>2.2453624730180834</v>
      </c>
      <c r="F209">
        <v>2.6692275934692988</v>
      </c>
      <c r="G209">
        <v>0.26896629073272871</v>
      </c>
      <c r="H209">
        <v>0.24959308339213818</v>
      </c>
    </row>
    <row r="210" spans="1:8" x14ac:dyDescent="0.3">
      <c r="A210">
        <v>2023</v>
      </c>
      <c r="C210">
        <v>2.0707361923000001</v>
      </c>
      <c r="D210">
        <v>2.4199887537361664</v>
      </c>
      <c r="E210">
        <f t="shared" si="3"/>
        <v>2.2453624730180834</v>
      </c>
      <c r="F210">
        <v>2.6692275934692988</v>
      </c>
      <c r="G210">
        <v>0.25470989496989843</v>
      </c>
      <c r="H210">
        <v>0.23636355278140711</v>
      </c>
    </row>
    <row r="211" spans="1:8" x14ac:dyDescent="0.3">
      <c r="A211">
        <v>2024</v>
      </c>
      <c r="C211">
        <v>2.0707361923000001</v>
      </c>
      <c r="D211">
        <v>2.4199887537361664</v>
      </c>
      <c r="E211">
        <f t="shared" si="3"/>
        <v>2.2453624730180834</v>
      </c>
      <c r="F211">
        <v>2.6692275934692988</v>
      </c>
      <c r="G211">
        <v>0.23964430725943767</v>
      </c>
      <c r="H211">
        <v>0.22238311501158572</v>
      </c>
    </row>
    <row r="212" spans="1:8" x14ac:dyDescent="0.3">
      <c r="A212">
        <v>2025</v>
      </c>
      <c r="C212">
        <v>2.0707361923000001</v>
      </c>
      <c r="D212">
        <v>2.4199887537361664</v>
      </c>
      <c r="E212">
        <f t="shared" si="3"/>
        <v>2.2453624730180834</v>
      </c>
      <c r="F212">
        <v>2.6692275934692988</v>
      </c>
      <c r="G212">
        <v>0.2237235979274651</v>
      </c>
      <c r="H212">
        <v>0.20760914864899169</v>
      </c>
    </row>
    <row r="213" spans="1:8" x14ac:dyDescent="0.3">
      <c r="A213">
        <v>2026</v>
      </c>
      <c r="C213">
        <v>2.0707361923000001</v>
      </c>
      <c r="D213">
        <v>2.4199887537361664</v>
      </c>
      <c r="E213">
        <f t="shared" si="3"/>
        <v>2.2453624730180834</v>
      </c>
      <c r="F213">
        <v>2.6692275934692988</v>
      </c>
      <c r="G213">
        <v>0.20689923033527607</v>
      </c>
      <c r="H213">
        <v>0.19199661307058344</v>
      </c>
    </row>
    <row r="214" spans="1:8" x14ac:dyDescent="0.3">
      <c r="A214">
        <v>2027</v>
      </c>
      <c r="C214">
        <v>2.0707361923000001</v>
      </c>
      <c r="D214">
        <v>2.4199887537361664</v>
      </c>
      <c r="E214">
        <f t="shared" si="3"/>
        <v>2.2453624730180834</v>
      </c>
      <c r="F214">
        <v>2.6692275934692988</v>
      </c>
      <c r="G214">
        <v>0.18911991290821573</v>
      </c>
      <c r="H214">
        <v>0.17549791115095442</v>
      </c>
    </row>
    <row r="215" spans="1:8" x14ac:dyDescent="0.3">
      <c r="A215">
        <v>2028</v>
      </c>
      <c r="C215">
        <v>2.0707361923000001</v>
      </c>
      <c r="D215">
        <v>2.4199887537361664</v>
      </c>
      <c r="E215">
        <f t="shared" si="3"/>
        <v>2.2453624730180834</v>
      </c>
      <c r="F215">
        <v>2.6692275934692988</v>
      </c>
      <c r="G215">
        <v>0.17033144276572279</v>
      </c>
      <c r="H215">
        <v>0.15806274415545216</v>
      </c>
    </row>
    <row r="216" spans="1:8" x14ac:dyDescent="0.3">
      <c r="A216">
        <v>2029</v>
      </c>
      <c r="C216">
        <v>2.0707361923000001</v>
      </c>
      <c r="D216">
        <v>2.4199887537361664</v>
      </c>
      <c r="E216">
        <f t="shared" si="3"/>
        <v>2.2453624730180834</v>
      </c>
      <c r="F216">
        <v>2.6692275934692988</v>
      </c>
      <c r="G216">
        <v>0.15047654047582543</v>
      </c>
      <c r="H216">
        <v>0.1396379583970408</v>
      </c>
    </row>
    <row r="217" spans="1:8" x14ac:dyDescent="0.3">
      <c r="A217">
        <v>2030</v>
      </c>
      <c r="C217">
        <v>2.0707361923000001</v>
      </c>
      <c r="D217">
        <v>2.4199887537361664</v>
      </c>
      <c r="E217">
        <f t="shared" si="3"/>
        <v>2.2453624730180834</v>
      </c>
      <c r="F217">
        <v>2.6692275934692988</v>
      </c>
      <c r="G217">
        <v>0.12949467543031612</v>
      </c>
      <c r="H217">
        <v>0.12016738318942002</v>
      </c>
    </row>
    <row r="218" spans="1:8" x14ac:dyDescent="0.3">
      <c r="A218">
        <v>2031</v>
      </c>
      <c r="C218">
        <v>2.0707361923000001</v>
      </c>
      <c r="D218">
        <v>2.4199887537361664</v>
      </c>
      <c r="E218">
        <f t="shared" si="3"/>
        <v>2.2453624730180834</v>
      </c>
      <c r="F218">
        <v>2.6692275934692988</v>
      </c>
      <c r="G218">
        <v>0.11854101435107842</v>
      </c>
      <c r="H218">
        <v>0.11000269661939878</v>
      </c>
    </row>
    <row r="219" spans="1:8" x14ac:dyDescent="0.3">
      <c r="A219">
        <v>2032</v>
      </c>
      <c r="C219">
        <v>2.0707361923000001</v>
      </c>
      <c r="D219">
        <v>2.4199887537361664</v>
      </c>
      <c r="E219">
        <f t="shared" si="3"/>
        <v>2.2453624730180834</v>
      </c>
      <c r="F219">
        <v>2.6692275934692988</v>
      </c>
      <c r="G219">
        <v>0.10851389863472993</v>
      </c>
      <c r="H219">
        <v>0.10069781784683871</v>
      </c>
    </row>
    <row r="220" spans="1:8" x14ac:dyDescent="0.3">
      <c r="A220">
        <v>2033</v>
      </c>
      <c r="C220">
        <v>2.0707361923000001</v>
      </c>
      <c r="D220">
        <v>2.4199887537361664</v>
      </c>
      <c r="E220">
        <f t="shared" si="3"/>
        <v>2.2453624730180834</v>
      </c>
      <c r="F220">
        <v>2.6692275934692988</v>
      </c>
      <c r="G220">
        <v>9.9334953909151522E-2</v>
      </c>
      <c r="H220">
        <v>9.2180017679011433E-2</v>
      </c>
    </row>
    <row r="221" spans="1:8" x14ac:dyDescent="0.3">
      <c r="A221">
        <v>2034</v>
      </c>
      <c r="C221">
        <v>2.0707361923000001</v>
      </c>
      <c r="D221">
        <v>2.4199887537361664</v>
      </c>
      <c r="E221">
        <f t="shared" si="3"/>
        <v>2.2453624730180834</v>
      </c>
      <c r="F221">
        <v>2.6692275934692988</v>
      </c>
      <c r="G221">
        <v>9.0932435312716525E-2</v>
      </c>
      <c r="H221">
        <v>8.4382718920751831E-2</v>
      </c>
    </row>
    <row r="222" spans="1:8" x14ac:dyDescent="0.3">
      <c r="A222">
        <v>2035</v>
      </c>
      <c r="C222">
        <v>2.0707361923000001</v>
      </c>
      <c r="D222">
        <v>2.4199887537361664</v>
      </c>
      <c r="E222">
        <f t="shared" si="3"/>
        <v>2.2453624730180834</v>
      </c>
      <c r="F222">
        <v>2.6692275934692988</v>
      </c>
      <c r="G222">
        <v>8.3240666719024831E-2</v>
      </c>
      <c r="H222">
        <v>7.7244975990928583E-2</v>
      </c>
    </row>
    <row r="223" spans="1:8" x14ac:dyDescent="0.3">
      <c r="A223">
        <v>2036</v>
      </c>
      <c r="C223">
        <v>2.0707361923000001</v>
      </c>
      <c r="D223">
        <v>2.4199887537361664</v>
      </c>
      <c r="E223">
        <f t="shared" si="3"/>
        <v>2.2453624730180834</v>
      </c>
      <c r="F223">
        <v>2.6692275934692988</v>
      </c>
      <c r="G223">
        <v>7.6199527396345612E-2</v>
      </c>
      <c r="H223">
        <v>7.0710998556977642E-2</v>
      </c>
    </row>
    <row r="224" spans="1:8" x14ac:dyDescent="0.3">
      <c r="A224">
        <v>2037</v>
      </c>
      <c r="C224">
        <v>2.0707361923000001</v>
      </c>
      <c r="D224">
        <v>2.4199887537361664</v>
      </c>
      <c r="E224">
        <f t="shared" si="3"/>
        <v>2.2453624730180834</v>
      </c>
      <c r="F224">
        <v>2.6692275934692988</v>
      </c>
      <c r="G224">
        <v>6.9753982089374209E-2</v>
      </c>
      <c r="H224">
        <v>6.4729715464111021E-2</v>
      </c>
    </row>
    <row r="225" spans="1:8" x14ac:dyDescent="0.3">
      <c r="A225">
        <v>2038</v>
      </c>
      <c r="C225">
        <v>2.0707361923000001</v>
      </c>
      <c r="D225">
        <v>2.4199887537361664</v>
      </c>
      <c r="E225">
        <f t="shared" si="3"/>
        <v>2.2453624730180834</v>
      </c>
      <c r="F225">
        <v>2.6692275934692988</v>
      </c>
      <c r="G225">
        <v>6.3853650850308086E-2</v>
      </c>
      <c r="H225">
        <v>5.9254375550765258E-2</v>
      </c>
    </row>
    <row r="228" spans="1:8" x14ac:dyDescent="0.3">
      <c r="A228" s="1" t="s">
        <v>138</v>
      </c>
    </row>
    <row r="229" spans="1:8" x14ac:dyDescent="0.3">
      <c r="A229" t="s">
        <v>130</v>
      </c>
      <c r="C229" t="s">
        <v>135</v>
      </c>
      <c r="D229" t="s">
        <v>136</v>
      </c>
      <c r="E229" t="s">
        <v>137</v>
      </c>
    </row>
    <row r="230" spans="1:8" x14ac:dyDescent="0.3">
      <c r="A230">
        <v>2010</v>
      </c>
      <c r="C230" s="35">
        <v>26.151403058781668</v>
      </c>
      <c r="D230" s="35">
        <v>52.302806117563335</v>
      </c>
      <c r="E230" s="35">
        <v>78.454209176345032</v>
      </c>
    </row>
    <row r="231" spans="1:8" x14ac:dyDescent="0.3">
      <c r="A231">
        <v>2011</v>
      </c>
      <c r="C231" s="35">
        <v>26.543674104663392</v>
      </c>
      <c r="D231" s="35">
        <v>53.087348209326784</v>
      </c>
      <c r="E231" s="35">
        <v>79.631022313990172</v>
      </c>
    </row>
    <row r="232" spans="1:8" x14ac:dyDescent="0.3">
      <c r="A232">
        <v>2012</v>
      </c>
      <c r="C232" s="35">
        <v>26.941829216233341</v>
      </c>
      <c r="D232" s="35">
        <v>53.883658432466682</v>
      </c>
      <c r="E232" s="35">
        <v>80.825487648700033</v>
      </c>
    </row>
    <row r="233" spans="1:8" x14ac:dyDescent="0.3">
      <c r="A233">
        <v>2013</v>
      </c>
      <c r="C233" s="35">
        <v>27.345956654476836</v>
      </c>
      <c r="D233" s="35">
        <v>54.691913308953673</v>
      </c>
      <c r="E233" s="35">
        <v>82.037869963430509</v>
      </c>
    </row>
    <row r="234" spans="1:8" x14ac:dyDescent="0.3">
      <c r="A234">
        <v>2014</v>
      </c>
      <c r="C234" s="35">
        <v>27.756146004293988</v>
      </c>
      <c r="D234" s="35">
        <v>55.512292008587977</v>
      </c>
      <c r="E234" s="35">
        <v>83.268438012881973</v>
      </c>
    </row>
    <row r="235" spans="1:8" x14ac:dyDescent="0.3">
      <c r="A235">
        <v>2015</v>
      </c>
      <c r="C235" s="35">
        <v>28.17248819435839</v>
      </c>
      <c r="D235" s="35">
        <v>56.34497638871678</v>
      </c>
      <c r="E235" s="35">
        <v>84.517464583075196</v>
      </c>
    </row>
    <row r="236" spans="1:8" x14ac:dyDescent="0.3">
      <c r="A236">
        <v>2016</v>
      </c>
      <c r="C236" s="35">
        <v>28.595075517273763</v>
      </c>
      <c r="D236" s="35">
        <v>57.190151034547526</v>
      </c>
      <c r="E236" s="35">
        <v>85.785226551821296</v>
      </c>
    </row>
    <row r="237" spans="1:8" x14ac:dyDescent="0.3">
      <c r="A237">
        <v>2017</v>
      </c>
      <c r="C237" s="35">
        <v>29.024001650032872</v>
      </c>
      <c r="D237" s="35">
        <v>58.048003300065744</v>
      </c>
      <c r="E237" s="35">
        <v>87.072004950098631</v>
      </c>
    </row>
    <row r="238" spans="1:8" x14ac:dyDescent="0.3">
      <c r="A238">
        <v>2018</v>
      </c>
      <c r="C238" s="35">
        <v>29.459361674783359</v>
      </c>
      <c r="D238" s="35">
        <v>58.918723349566719</v>
      </c>
      <c r="E238" s="35">
        <v>88.378085024350099</v>
      </c>
    </row>
    <row r="239" spans="1:8" x14ac:dyDescent="0.3">
      <c r="A239">
        <v>2019</v>
      </c>
      <c r="C239" s="35">
        <v>29.901252099905115</v>
      </c>
      <c r="D239" s="35">
        <v>59.80250419981023</v>
      </c>
      <c r="E239" s="35">
        <v>89.703756299715351</v>
      </c>
    </row>
    <row r="240" spans="1:8" x14ac:dyDescent="0.3">
      <c r="A240">
        <v>2020</v>
      </c>
      <c r="C240" s="35">
        <v>30.349770881403689</v>
      </c>
      <c r="D240" s="35">
        <v>60.699541762807378</v>
      </c>
      <c r="E240" s="35">
        <v>91.049312644211057</v>
      </c>
    </row>
    <row r="241" spans="1:5" x14ac:dyDescent="0.3">
      <c r="A241">
        <v>2021</v>
      </c>
      <c r="C241" s="35">
        <v>30.855600396093745</v>
      </c>
      <c r="D241" s="35">
        <v>61.711200792187491</v>
      </c>
      <c r="E241" s="35">
        <v>92.566801188281246</v>
      </c>
    </row>
    <row r="242" spans="1:5" x14ac:dyDescent="0.3">
      <c r="A242">
        <v>2022</v>
      </c>
      <c r="C242" s="35">
        <v>31.361429910783812</v>
      </c>
      <c r="D242" s="35">
        <v>62.722859821567624</v>
      </c>
      <c r="E242" s="35">
        <v>94.084289732351422</v>
      </c>
    </row>
    <row r="243" spans="1:5" x14ac:dyDescent="0.3">
      <c r="A243">
        <v>2023</v>
      </c>
      <c r="C243" s="35">
        <v>31.867259425473875</v>
      </c>
      <c r="D243" s="35">
        <v>63.734518850947751</v>
      </c>
      <c r="E243" s="35">
        <v>95.601778276421612</v>
      </c>
    </row>
    <row r="244" spans="1:5" x14ac:dyDescent="0.3">
      <c r="A244">
        <v>2024</v>
      </c>
      <c r="C244" s="35">
        <v>32.373088940163932</v>
      </c>
      <c r="D244" s="35">
        <v>64.746177880327863</v>
      </c>
      <c r="E244" s="35">
        <v>97.119266820491802</v>
      </c>
    </row>
    <row r="245" spans="1:5" x14ac:dyDescent="0.3">
      <c r="A245">
        <v>2025</v>
      </c>
      <c r="C245" s="35">
        <v>32.878918454853995</v>
      </c>
      <c r="D245" s="35">
        <v>65.75783690970799</v>
      </c>
      <c r="E245" s="35">
        <v>98.636755364561992</v>
      </c>
    </row>
    <row r="246" spans="1:5" x14ac:dyDescent="0.3">
      <c r="A246">
        <v>2026</v>
      </c>
      <c r="C246" s="35">
        <v>33.384747969544051</v>
      </c>
      <c r="D246" s="35">
        <v>66.769495939088102</v>
      </c>
      <c r="E246" s="35">
        <v>100.15424390863215</v>
      </c>
    </row>
    <row r="247" spans="1:5" x14ac:dyDescent="0.3">
      <c r="A247">
        <v>2027</v>
      </c>
      <c r="C247" s="35">
        <v>33.890577484234115</v>
      </c>
      <c r="D247" s="35">
        <v>67.781154968468229</v>
      </c>
      <c r="E247" s="35">
        <v>101.67173245270236</v>
      </c>
    </row>
    <row r="248" spans="1:5" x14ac:dyDescent="0.3">
      <c r="A248">
        <v>2028</v>
      </c>
      <c r="C248" s="35">
        <v>34.396406998924178</v>
      </c>
      <c r="D248" s="35">
        <v>68.792813997848356</v>
      </c>
      <c r="E248" s="35">
        <v>103.18922099677253</v>
      </c>
    </row>
    <row r="249" spans="1:5" x14ac:dyDescent="0.3">
      <c r="A249">
        <v>2029</v>
      </c>
      <c r="C249" s="35">
        <v>34.902236513614241</v>
      </c>
      <c r="D249" s="35">
        <v>69.804473027228482</v>
      </c>
      <c r="E249" s="35">
        <v>104.70670954084271</v>
      </c>
    </row>
    <row r="250" spans="1:5" x14ac:dyDescent="0.3">
      <c r="A250">
        <v>2030</v>
      </c>
      <c r="C250" s="35">
        <v>35.408066028304304</v>
      </c>
      <c r="D250" s="35">
        <v>70.816132056608609</v>
      </c>
      <c r="E250" s="35">
        <v>106.2241980849129</v>
      </c>
    </row>
    <row r="251" spans="1:5" x14ac:dyDescent="0.3">
      <c r="A251">
        <v>2031</v>
      </c>
      <c r="C251" s="35">
        <v>38.695957873789695</v>
      </c>
      <c r="D251" s="35">
        <v>77.39191574757939</v>
      </c>
      <c r="E251" s="35">
        <v>116.08787362136911</v>
      </c>
    </row>
    <row r="252" spans="1:5" x14ac:dyDescent="0.3">
      <c r="A252">
        <v>2032</v>
      </c>
      <c r="C252" s="35">
        <v>41.983849719275106</v>
      </c>
      <c r="D252" s="35">
        <v>83.967699438550213</v>
      </c>
      <c r="E252" s="35">
        <v>125.9515491578253</v>
      </c>
    </row>
    <row r="253" spans="1:5" x14ac:dyDescent="0.3">
      <c r="A253">
        <v>2033</v>
      </c>
      <c r="C253" s="35">
        <v>45.271741564760504</v>
      </c>
      <c r="D253" s="35">
        <v>90.543483129521007</v>
      </c>
      <c r="E253" s="35">
        <v>135.81522469428148</v>
      </c>
    </row>
    <row r="254" spans="1:5" x14ac:dyDescent="0.3">
      <c r="A254">
        <v>2034</v>
      </c>
      <c r="C254" s="35">
        <v>48.559633410245901</v>
      </c>
      <c r="D254" s="35">
        <v>97.119266820491802</v>
      </c>
      <c r="E254" s="35">
        <v>145.6789002307377</v>
      </c>
    </row>
    <row r="255" spans="1:5" x14ac:dyDescent="0.3">
      <c r="A255">
        <v>2035</v>
      </c>
      <c r="C255" s="35">
        <v>51.847525255731298</v>
      </c>
      <c r="D255" s="35">
        <v>103.6950505114626</v>
      </c>
      <c r="E255" s="35">
        <v>155.54257576719391</v>
      </c>
    </row>
    <row r="256" spans="1:5" x14ac:dyDescent="0.3">
      <c r="A256">
        <v>2036</v>
      </c>
      <c r="C256" s="35">
        <v>55.135417101216696</v>
      </c>
      <c r="D256" s="35">
        <v>110.27083420243339</v>
      </c>
      <c r="E256" s="35">
        <v>165.40625130365009</v>
      </c>
    </row>
    <row r="257" spans="1:9" x14ac:dyDescent="0.3">
      <c r="A257">
        <v>2037</v>
      </c>
      <c r="C257" s="35">
        <v>58.423308946702093</v>
      </c>
      <c r="D257" s="35">
        <v>116.84661789340419</v>
      </c>
      <c r="E257" s="35">
        <v>175.26992684010628</v>
      </c>
    </row>
    <row r="258" spans="1:9" x14ac:dyDescent="0.3">
      <c r="A258">
        <v>2038</v>
      </c>
      <c r="C258" s="35">
        <v>61.711200792187491</v>
      </c>
      <c r="D258" s="35">
        <v>123.42240158437498</v>
      </c>
      <c r="E258" s="35">
        <v>185.13360237656249</v>
      </c>
    </row>
    <row r="260" spans="1:9" x14ac:dyDescent="0.3">
      <c r="A260" s="1" t="s">
        <v>168</v>
      </c>
    </row>
    <row r="261" spans="1:9" x14ac:dyDescent="0.3">
      <c r="A261" t="s">
        <v>177</v>
      </c>
      <c r="B261">
        <v>2015</v>
      </c>
      <c r="C261">
        <v>2020</v>
      </c>
      <c r="D261">
        <v>2025</v>
      </c>
      <c r="E261">
        <v>2030</v>
      </c>
      <c r="F261">
        <v>2035</v>
      </c>
    </row>
    <row r="262" spans="1:9" x14ac:dyDescent="0.3">
      <c r="A262" s="59" t="s">
        <v>169</v>
      </c>
      <c r="B262" s="7">
        <v>33.034158846713332</v>
      </c>
      <c r="C262" s="7">
        <v>40.068561346929037</v>
      </c>
      <c r="D262" s="7">
        <v>47.914083823110417</v>
      </c>
      <c r="E262" s="7">
        <v>57.610819909203549</v>
      </c>
      <c r="F262" s="7">
        <v>72.381363585987771</v>
      </c>
    </row>
    <row r="263" spans="1:9" x14ac:dyDescent="0.3">
      <c r="A263" t="s">
        <v>170</v>
      </c>
      <c r="B263" s="7">
        <v>0.10788051799464955</v>
      </c>
      <c r="C263" s="7">
        <v>0.11755682252034028</v>
      </c>
      <c r="D263" s="7">
        <v>0.1299581115271819</v>
      </c>
      <c r="E263" s="7">
        <v>0.14489649188177203</v>
      </c>
      <c r="F263" s="7">
        <v>0.16155200404903652</v>
      </c>
    </row>
    <row r="264" spans="1:9" x14ac:dyDescent="0.3">
      <c r="A264" t="s">
        <v>171</v>
      </c>
      <c r="B264" s="7">
        <v>3.2364155398394865</v>
      </c>
      <c r="C264" s="7">
        <v>3.5267046756102083</v>
      </c>
      <c r="D264" s="7">
        <v>3.8987433458154568</v>
      </c>
      <c r="E264" s="7">
        <v>4.3468947564531604</v>
      </c>
      <c r="F264" s="7">
        <v>4.8465601214710956</v>
      </c>
    </row>
    <row r="265" spans="1:9" x14ac:dyDescent="0.3">
      <c r="A265" t="s">
        <v>172</v>
      </c>
      <c r="B265" s="7">
        <v>7.7909661078823217E-2</v>
      </c>
      <c r="C265" s="7">
        <v>3.5003366101366784E-2</v>
      </c>
      <c r="D265" s="7">
        <v>2.0418322649374217E-2</v>
      </c>
      <c r="E265" s="7">
        <v>1.8768465343712803E-2</v>
      </c>
      <c r="F265" s="7">
        <v>1.957790487957782E-2</v>
      </c>
    </row>
    <row r="266" spans="1:9" x14ac:dyDescent="0.3">
      <c r="A266" t="s">
        <v>173</v>
      </c>
      <c r="B266" s="7">
        <v>0.2157610359892991</v>
      </c>
      <c r="C266" s="7">
        <v>0.23511364504068055</v>
      </c>
      <c r="D266" s="7">
        <v>0.25991622305436379</v>
      </c>
      <c r="E266" s="7">
        <v>0.28979298376354407</v>
      </c>
      <c r="F266" s="7">
        <v>0.32310400809807305</v>
      </c>
    </row>
    <row r="267" spans="1:9" x14ac:dyDescent="0.3">
      <c r="A267" t="s">
        <v>174</v>
      </c>
      <c r="B267" s="7">
        <v>0.81536676358924343</v>
      </c>
      <c r="C267" s="7">
        <v>0.73284008959157054</v>
      </c>
      <c r="D267" s="7">
        <v>0.68814381481518305</v>
      </c>
      <c r="E267" s="7">
        <v>0.63465168855580645</v>
      </c>
      <c r="F267" s="7">
        <v>0.85177421637182305</v>
      </c>
      <c r="H267" t="s">
        <v>233</v>
      </c>
    </row>
    <row r="268" spans="1:9" x14ac:dyDescent="0.3">
      <c r="A268" t="s">
        <v>175</v>
      </c>
      <c r="B268" s="7">
        <v>-3.9419360750416472</v>
      </c>
      <c r="C268" s="7">
        <v>-3.4713493295390005</v>
      </c>
      <c r="D268" s="7">
        <v>-3.0885811750344705</v>
      </c>
      <c r="E268" s="7">
        <v>-2.6694174078142892</v>
      </c>
      <c r="F268" s="7">
        <v>-2.4667201895174635</v>
      </c>
    </row>
    <row r="269" spans="1:9" x14ac:dyDescent="0.3">
      <c r="A269" t="s">
        <v>122</v>
      </c>
      <c r="B269" s="7">
        <v>33.545556290163184</v>
      </c>
      <c r="C269" s="7">
        <v>41.244430616254206</v>
      </c>
      <c r="D269" s="7">
        <v>49.822682465937504</v>
      </c>
      <c r="E269" s="7">
        <v>60.376406887387269</v>
      </c>
      <c r="F269" s="7">
        <v>76.117211651339929</v>
      </c>
    </row>
    <row r="271" spans="1:9" x14ac:dyDescent="0.3">
      <c r="A271" s="59" t="s">
        <v>179</v>
      </c>
      <c r="B271" t="s">
        <v>178</v>
      </c>
      <c r="C271" t="s">
        <v>170</v>
      </c>
      <c r="D271" t="s">
        <v>171</v>
      </c>
      <c r="E271" t="s">
        <v>172</v>
      </c>
      <c r="F271" t="s">
        <v>173</v>
      </c>
      <c r="G271" t="s">
        <v>174</v>
      </c>
      <c r="H271" t="s">
        <v>175</v>
      </c>
      <c r="I271" t="s">
        <v>122</v>
      </c>
    </row>
    <row r="272" spans="1:9" x14ac:dyDescent="0.3">
      <c r="A272">
        <v>2019</v>
      </c>
      <c r="B272" s="7">
        <f>B262</f>
        <v>33.034158846713332</v>
      </c>
      <c r="C272" s="7">
        <f>B263</f>
        <v>0.10788051799464955</v>
      </c>
      <c r="D272" s="7">
        <f>B264</f>
        <v>3.2364155398394865</v>
      </c>
      <c r="E272" s="7">
        <f>B265</f>
        <v>7.7909661078823217E-2</v>
      </c>
      <c r="F272" s="7">
        <f>B266</f>
        <v>0.2157610359892991</v>
      </c>
      <c r="G272" s="7">
        <f>B267</f>
        <v>0.81536676358924343</v>
      </c>
      <c r="H272" s="7">
        <f>B268</f>
        <v>-3.9419360750416472</v>
      </c>
      <c r="I272" s="7">
        <f>B269</f>
        <v>33.545556290163184</v>
      </c>
    </row>
    <row r="273" spans="1:9" x14ac:dyDescent="0.3">
      <c r="A273">
        <v>2020</v>
      </c>
      <c r="B273" s="7">
        <f>C$262</f>
        <v>40.068561346929037</v>
      </c>
      <c r="C273" s="7">
        <f>C$263</f>
        <v>0.11755682252034028</v>
      </c>
      <c r="D273" s="7">
        <f>C$264</f>
        <v>3.5267046756102083</v>
      </c>
      <c r="E273" s="7">
        <f>C$265</f>
        <v>3.5003366101366784E-2</v>
      </c>
      <c r="F273" s="7">
        <f>C$266</f>
        <v>0.23511364504068055</v>
      </c>
      <c r="G273" s="7">
        <f>C$267</f>
        <v>0.73284008959157054</v>
      </c>
      <c r="H273" s="7">
        <f>C$268</f>
        <v>-3.4713493295390005</v>
      </c>
      <c r="I273" s="7">
        <f>C$269</f>
        <v>41.244430616254206</v>
      </c>
    </row>
    <row r="274" spans="1:9" x14ac:dyDescent="0.3">
      <c r="A274">
        <v>2021</v>
      </c>
      <c r="B274" s="7">
        <f t="shared" ref="B274:B277" si="4">C$262</f>
        <v>40.068561346929037</v>
      </c>
      <c r="C274" s="7">
        <f t="shared" ref="C274:C277" si="5">C$263</f>
        <v>0.11755682252034028</v>
      </c>
      <c r="D274" s="7">
        <f t="shared" ref="D274:D277" si="6">C$264</f>
        <v>3.5267046756102083</v>
      </c>
      <c r="E274" s="7">
        <f t="shared" ref="E274:E277" si="7">C$265</f>
        <v>3.5003366101366784E-2</v>
      </c>
      <c r="F274" s="7">
        <f t="shared" ref="F274:F277" si="8">C$266</f>
        <v>0.23511364504068055</v>
      </c>
      <c r="G274" s="7">
        <f t="shared" ref="G274:G277" si="9">C$267</f>
        <v>0.73284008959157054</v>
      </c>
      <c r="H274" s="7">
        <f t="shared" ref="H274:H277" si="10">C$268</f>
        <v>-3.4713493295390005</v>
      </c>
      <c r="I274" s="7">
        <f t="shared" ref="I274:I277" si="11">C$269</f>
        <v>41.244430616254206</v>
      </c>
    </row>
    <row r="275" spans="1:9" x14ac:dyDescent="0.3">
      <c r="A275">
        <v>2022</v>
      </c>
      <c r="B275" s="7">
        <f t="shared" si="4"/>
        <v>40.068561346929037</v>
      </c>
      <c r="C275" s="7">
        <f t="shared" si="5"/>
        <v>0.11755682252034028</v>
      </c>
      <c r="D275" s="7">
        <f t="shared" si="6"/>
        <v>3.5267046756102083</v>
      </c>
      <c r="E275" s="7">
        <f t="shared" si="7"/>
        <v>3.5003366101366784E-2</v>
      </c>
      <c r="F275" s="7">
        <f t="shared" si="8"/>
        <v>0.23511364504068055</v>
      </c>
      <c r="G275" s="7">
        <f t="shared" si="9"/>
        <v>0.73284008959157054</v>
      </c>
      <c r="H275" s="7">
        <f t="shared" si="10"/>
        <v>-3.4713493295390005</v>
      </c>
      <c r="I275" s="7">
        <f t="shared" si="11"/>
        <v>41.244430616254206</v>
      </c>
    </row>
    <row r="276" spans="1:9" x14ac:dyDescent="0.3">
      <c r="A276">
        <v>2023</v>
      </c>
      <c r="B276" s="7">
        <f t="shared" si="4"/>
        <v>40.068561346929037</v>
      </c>
      <c r="C276" s="7">
        <f t="shared" si="5"/>
        <v>0.11755682252034028</v>
      </c>
      <c r="D276" s="7">
        <f t="shared" si="6"/>
        <v>3.5267046756102083</v>
      </c>
      <c r="E276" s="7">
        <f t="shared" si="7"/>
        <v>3.5003366101366784E-2</v>
      </c>
      <c r="F276" s="7">
        <f t="shared" si="8"/>
        <v>0.23511364504068055</v>
      </c>
      <c r="G276" s="7">
        <f t="shared" si="9"/>
        <v>0.73284008959157054</v>
      </c>
      <c r="H276" s="7">
        <f t="shared" si="10"/>
        <v>-3.4713493295390005</v>
      </c>
      <c r="I276" s="7">
        <f t="shared" si="11"/>
        <v>41.244430616254206</v>
      </c>
    </row>
    <row r="277" spans="1:9" x14ac:dyDescent="0.3">
      <c r="A277">
        <v>2024</v>
      </c>
      <c r="B277" s="7">
        <f t="shared" si="4"/>
        <v>40.068561346929037</v>
      </c>
      <c r="C277" s="7">
        <f t="shared" si="5"/>
        <v>0.11755682252034028</v>
      </c>
      <c r="D277" s="7">
        <f t="shared" si="6"/>
        <v>3.5267046756102083</v>
      </c>
      <c r="E277" s="7">
        <f t="shared" si="7"/>
        <v>3.5003366101366784E-2</v>
      </c>
      <c r="F277" s="7">
        <f t="shared" si="8"/>
        <v>0.23511364504068055</v>
      </c>
      <c r="G277" s="7">
        <f t="shared" si="9"/>
        <v>0.73284008959157054</v>
      </c>
      <c r="H277" s="7">
        <f t="shared" si="10"/>
        <v>-3.4713493295390005</v>
      </c>
      <c r="I277" s="7">
        <f t="shared" si="11"/>
        <v>41.244430616254206</v>
      </c>
    </row>
    <row r="278" spans="1:9" x14ac:dyDescent="0.3">
      <c r="A278">
        <v>2025</v>
      </c>
      <c r="B278" s="7">
        <v>47.914083823110417</v>
      </c>
      <c r="C278" s="7">
        <v>0.1299581115271819</v>
      </c>
      <c r="D278" s="7">
        <v>3.8987433458154568</v>
      </c>
      <c r="E278" s="7">
        <v>2.0418322649374217E-2</v>
      </c>
      <c r="F278" s="7">
        <v>0.25991622305436379</v>
      </c>
      <c r="G278" s="7">
        <v>0.68814381481518305</v>
      </c>
      <c r="H278" s="7">
        <v>-3.0885811750344705</v>
      </c>
      <c r="I278" s="7">
        <v>49.822682465937504</v>
      </c>
    </row>
    <row r="279" spans="1:9" x14ac:dyDescent="0.3">
      <c r="A279">
        <v>2026</v>
      </c>
      <c r="B279" s="7">
        <v>47.914083823110417</v>
      </c>
      <c r="C279" s="7">
        <v>0.1299581115271819</v>
      </c>
      <c r="D279" s="7">
        <v>3.8987433458154568</v>
      </c>
      <c r="E279" s="7">
        <v>2.0418322649374217E-2</v>
      </c>
      <c r="F279" s="7">
        <v>0.25991622305436379</v>
      </c>
      <c r="G279" s="7">
        <v>0.68814381481518305</v>
      </c>
      <c r="H279" s="7">
        <v>-3.0885811750344705</v>
      </c>
      <c r="I279" s="7">
        <v>49.822682465937504</v>
      </c>
    </row>
    <row r="280" spans="1:9" x14ac:dyDescent="0.3">
      <c r="A280">
        <v>2027</v>
      </c>
      <c r="B280" s="7">
        <v>47.914083823110417</v>
      </c>
      <c r="C280" s="7">
        <v>0.1299581115271819</v>
      </c>
      <c r="D280" s="7">
        <v>3.8987433458154568</v>
      </c>
      <c r="E280" s="7">
        <v>2.0418322649374217E-2</v>
      </c>
      <c r="F280" s="7">
        <v>0.25991622305436379</v>
      </c>
      <c r="G280" s="7">
        <v>0.68814381481518305</v>
      </c>
      <c r="H280" s="7">
        <v>-3.0885811750344705</v>
      </c>
      <c r="I280" s="7">
        <v>49.822682465937504</v>
      </c>
    </row>
    <row r="281" spans="1:9" x14ac:dyDescent="0.3">
      <c r="A281">
        <v>2028</v>
      </c>
      <c r="B281" s="7">
        <v>47.914083823110417</v>
      </c>
      <c r="C281" s="7">
        <v>0.1299581115271819</v>
      </c>
      <c r="D281" s="7">
        <v>3.8987433458154568</v>
      </c>
      <c r="E281" s="7">
        <v>2.0418322649374217E-2</v>
      </c>
      <c r="F281" s="7">
        <v>0.25991622305436379</v>
      </c>
      <c r="G281" s="7">
        <v>0.68814381481518305</v>
      </c>
      <c r="H281" s="7">
        <v>-3.0885811750344705</v>
      </c>
      <c r="I281" s="7">
        <v>49.822682465937504</v>
      </c>
    </row>
    <row r="282" spans="1:9" x14ac:dyDescent="0.3">
      <c r="A282">
        <v>2029</v>
      </c>
      <c r="B282" s="7">
        <v>47.914083823110417</v>
      </c>
      <c r="C282" s="7">
        <v>0.1299581115271819</v>
      </c>
      <c r="D282" s="7">
        <v>3.8987433458154568</v>
      </c>
      <c r="E282" s="7">
        <v>2.0418322649374217E-2</v>
      </c>
      <c r="F282" s="7">
        <v>0.25991622305436379</v>
      </c>
      <c r="G282" s="7">
        <v>0.68814381481518305</v>
      </c>
      <c r="H282" s="7">
        <v>-3.0885811750344705</v>
      </c>
      <c r="I282" s="7">
        <v>49.822682465937504</v>
      </c>
    </row>
    <row r="283" spans="1:9" x14ac:dyDescent="0.3">
      <c r="A283">
        <v>2030</v>
      </c>
      <c r="B283" s="7">
        <v>57.610819909203549</v>
      </c>
      <c r="C283" s="7">
        <v>0.14489649188177203</v>
      </c>
      <c r="D283" s="7">
        <v>4.3468947564531604</v>
      </c>
      <c r="E283" s="7">
        <v>1.8768465343712803E-2</v>
      </c>
      <c r="F283" s="7">
        <v>0.28979298376354407</v>
      </c>
      <c r="G283" s="7">
        <v>0.63465168855580645</v>
      </c>
      <c r="H283" s="7">
        <v>-2.6694174078142892</v>
      </c>
      <c r="I283" s="7">
        <v>60.376406887387269</v>
      </c>
    </row>
    <row r="284" spans="1:9" x14ac:dyDescent="0.3">
      <c r="A284">
        <v>2031</v>
      </c>
      <c r="B284" s="7">
        <v>57.610819909203549</v>
      </c>
      <c r="C284" s="7">
        <v>0.14489649188177203</v>
      </c>
      <c r="D284" s="7">
        <v>4.3468947564531604</v>
      </c>
      <c r="E284" s="7">
        <v>1.8768465343712803E-2</v>
      </c>
      <c r="F284" s="7">
        <v>0.28979298376354407</v>
      </c>
      <c r="G284" s="7">
        <v>0.63465168855580645</v>
      </c>
      <c r="H284" s="7">
        <v>-2.6694174078142892</v>
      </c>
      <c r="I284" s="7">
        <v>60.376406887387269</v>
      </c>
    </row>
    <row r="285" spans="1:9" x14ac:dyDescent="0.3">
      <c r="A285">
        <v>2032</v>
      </c>
      <c r="B285" s="7">
        <v>57.610819909203549</v>
      </c>
      <c r="C285" s="7">
        <v>0.14489649188177203</v>
      </c>
      <c r="D285" s="7">
        <v>4.3468947564531604</v>
      </c>
      <c r="E285" s="7">
        <v>1.8768465343712803E-2</v>
      </c>
      <c r="F285" s="7">
        <v>0.28979298376354407</v>
      </c>
      <c r="G285" s="7">
        <v>0.63465168855580645</v>
      </c>
      <c r="H285" s="7">
        <v>-2.6694174078142892</v>
      </c>
      <c r="I285" s="7">
        <v>60.376406887387269</v>
      </c>
    </row>
    <row r="286" spans="1:9" x14ac:dyDescent="0.3">
      <c r="A286">
        <v>2033</v>
      </c>
      <c r="B286" s="7">
        <v>57.610819909203549</v>
      </c>
      <c r="C286" s="7">
        <v>0.14489649188177203</v>
      </c>
      <c r="D286" s="7">
        <v>4.3468947564531604</v>
      </c>
      <c r="E286" s="7">
        <v>1.8768465343712803E-2</v>
      </c>
      <c r="F286" s="7">
        <v>0.28979298376354407</v>
      </c>
      <c r="G286" s="7">
        <v>0.63465168855580645</v>
      </c>
      <c r="H286" s="7">
        <v>-2.6694174078142892</v>
      </c>
      <c r="I286" s="7">
        <v>60.376406887387269</v>
      </c>
    </row>
    <row r="287" spans="1:9" x14ac:dyDescent="0.3">
      <c r="A287">
        <v>2034</v>
      </c>
      <c r="B287" s="7">
        <v>57.610819909203549</v>
      </c>
      <c r="C287" s="7">
        <v>0.14489649188177203</v>
      </c>
      <c r="D287" s="7">
        <v>4.3468947564531604</v>
      </c>
      <c r="E287" s="7">
        <v>1.8768465343712803E-2</v>
      </c>
      <c r="F287" s="7">
        <v>0.28979298376354407</v>
      </c>
      <c r="G287" s="7">
        <v>0.63465168855580645</v>
      </c>
      <c r="H287" s="7">
        <v>-2.6694174078142892</v>
      </c>
      <c r="I287" s="7">
        <v>60.376406887387269</v>
      </c>
    </row>
    <row r="288" spans="1:9" x14ac:dyDescent="0.3">
      <c r="A288">
        <v>2035</v>
      </c>
      <c r="B288" s="7">
        <v>72.381363585987771</v>
      </c>
      <c r="C288" s="7">
        <v>0.16155200404903652</v>
      </c>
      <c r="D288" s="7">
        <v>4.8465601214710956</v>
      </c>
      <c r="E288" s="7">
        <v>1.957790487957782E-2</v>
      </c>
      <c r="F288" s="7">
        <v>0.32310400809807305</v>
      </c>
      <c r="G288" s="7">
        <v>0.85177421637182305</v>
      </c>
      <c r="H288" s="7">
        <v>-2.4667201895174635</v>
      </c>
      <c r="I288" s="7">
        <v>76.117211651339929</v>
      </c>
    </row>
    <row r="289" spans="1:9" x14ac:dyDescent="0.3">
      <c r="A289">
        <v>2036</v>
      </c>
      <c r="B289" s="7">
        <v>72.381363585987771</v>
      </c>
      <c r="C289" s="7">
        <v>0.16155200404903652</v>
      </c>
      <c r="D289" s="7">
        <v>4.8465601214710956</v>
      </c>
      <c r="E289" s="7">
        <v>1.957790487957782E-2</v>
      </c>
      <c r="F289" s="7">
        <v>0.32310400809807305</v>
      </c>
      <c r="G289" s="7">
        <v>0.85177421637182305</v>
      </c>
      <c r="H289" s="7">
        <v>-2.4667201895174635</v>
      </c>
      <c r="I289" s="7">
        <v>76.117211651339929</v>
      </c>
    </row>
    <row r="290" spans="1:9" x14ac:dyDescent="0.3">
      <c r="A290">
        <v>2037</v>
      </c>
      <c r="B290" s="7">
        <v>72.381363585987771</v>
      </c>
      <c r="C290" s="7">
        <v>0.16155200404903652</v>
      </c>
      <c r="D290" s="7">
        <v>4.8465601214710956</v>
      </c>
      <c r="E290" s="7">
        <v>1.957790487957782E-2</v>
      </c>
      <c r="F290" s="7">
        <v>0.32310400809807305</v>
      </c>
      <c r="G290" s="7">
        <v>0.85177421637182305</v>
      </c>
      <c r="H290" s="7">
        <v>-2.4667201895174635</v>
      </c>
      <c r="I290" s="7">
        <v>76.117211651339929</v>
      </c>
    </row>
    <row r="291" spans="1:9" x14ac:dyDescent="0.3">
      <c r="A291">
        <v>2038</v>
      </c>
      <c r="B291" s="7">
        <v>72.381363585987771</v>
      </c>
      <c r="C291" s="7">
        <v>0.16155200404903652</v>
      </c>
      <c r="D291" s="7">
        <v>4.8465601214710956</v>
      </c>
      <c r="E291" s="7">
        <v>1.957790487957782E-2</v>
      </c>
      <c r="F291" s="7">
        <v>0.32310400809807305</v>
      </c>
      <c r="G291" s="7">
        <v>0.85177421637182305</v>
      </c>
      <c r="H291" s="7">
        <v>-2.4667201895174635</v>
      </c>
      <c r="I291" s="7">
        <v>76.117211651339929</v>
      </c>
    </row>
    <row r="295" spans="1:9" s="128" customFormat="1" x14ac:dyDescent="0.3">
      <c r="A295" s="127" t="s">
        <v>380</v>
      </c>
      <c r="B295" s="144" t="s">
        <v>381</v>
      </c>
    </row>
    <row r="297" spans="1:9" x14ac:dyDescent="0.3">
      <c r="A297" s="129" t="s">
        <v>382</v>
      </c>
      <c r="B297" s="130" t="s">
        <v>383</v>
      </c>
      <c r="C297" s="277" t="s">
        <v>384</v>
      </c>
      <c r="D297" s="279" t="s">
        <v>385</v>
      </c>
      <c r="E297" s="280"/>
      <c r="F297" s="281"/>
      <c r="G297" s="279" t="s">
        <v>386</v>
      </c>
      <c r="H297" s="281"/>
      <c r="I297" s="130" t="s">
        <v>383</v>
      </c>
    </row>
    <row r="298" spans="1:9" x14ac:dyDescent="0.3">
      <c r="A298" s="130" t="s">
        <v>383</v>
      </c>
      <c r="B298" s="130" t="s">
        <v>383</v>
      </c>
      <c r="C298" s="278"/>
      <c r="D298" s="129" t="s">
        <v>387</v>
      </c>
      <c r="E298" s="129" t="s">
        <v>388</v>
      </c>
      <c r="F298" s="129" t="s">
        <v>389</v>
      </c>
      <c r="G298" s="129" t="s">
        <v>387</v>
      </c>
      <c r="H298" s="129" t="s">
        <v>388</v>
      </c>
      <c r="I298" s="129" t="s">
        <v>389</v>
      </c>
    </row>
    <row r="299" spans="1:9" x14ac:dyDescent="0.3">
      <c r="A299" s="131" t="s">
        <v>390</v>
      </c>
      <c r="B299" s="131" t="s">
        <v>383</v>
      </c>
      <c r="C299" s="131" t="s">
        <v>391</v>
      </c>
      <c r="D299" s="132">
        <v>0</v>
      </c>
      <c r="E299" s="132">
        <v>0</v>
      </c>
      <c r="F299" s="132">
        <v>0</v>
      </c>
      <c r="G299" s="133">
        <v>-2</v>
      </c>
      <c r="H299" s="133">
        <v>14</v>
      </c>
      <c r="I299" s="133">
        <v>10</v>
      </c>
    </row>
    <row r="300" spans="1:9" x14ac:dyDescent="0.3">
      <c r="A300" s="131" t="s">
        <v>392</v>
      </c>
      <c r="B300" s="131" t="s">
        <v>393</v>
      </c>
      <c r="C300" s="131" t="s">
        <v>391</v>
      </c>
      <c r="D300" s="133">
        <v>5</v>
      </c>
      <c r="E300" s="133">
        <v>4</v>
      </c>
      <c r="F300" s="133">
        <v>8</v>
      </c>
      <c r="G300" s="133">
        <v>23</v>
      </c>
      <c r="H300" s="133">
        <v>33</v>
      </c>
      <c r="I300" s="133">
        <v>22</v>
      </c>
    </row>
    <row r="301" spans="1:9" x14ac:dyDescent="0.3">
      <c r="A301" s="131">
        <v>-1981</v>
      </c>
      <c r="B301" s="131" t="s">
        <v>394</v>
      </c>
      <c r="C301" s="131" t="s">
        <v>391</v>
      </c>
      <c r="D301" s="133">
        <v>3</v>
      </c>
      <c r="E301" s="133">
        <v>0</v>
      </c>
      <c r="F301" s="133">
        <v>1</v>
      </c>
      <c r="G301" s="133">
        <v>8</v>
      </c>
      <c r="H301" s="133">
        <v>0</v>
      </c>
      <c r="I301" s="133">
        <v>4</v>
      </c>
    </row>
    <row r="302" spans="1:9" x14ac:dyDescent="0.3">
      <c r="A302" s="274" t="s">
        <v>395</v>
      </c>
      <c r="B302" s="275"/>
      <c r="C302" s="131" t="s">
        <v>391</v>
      </c>
      <c r="D302" s="133">
        <v>5</v>
      </c>
      <c r="E302" s="133">
        <v>3</v>
      </c>
      <c r="F302" s="133">
        <v>11</v>
      </c>
      <c r="G302" s="133">
        <v>11</v>
      </c>
      <c r="H302" s="133">
        <v>7</v>
      </c>
      <c r="I302" s="133">
        <v>0</v>
      </c>
    </row>
    <row r="303" spans="1:9" x14ac:dyDescent="0.3">
      <c r="A303" s="131" t="s">
        <v>383</v>
      </c>
      <c r="B303" s="131" t="s">
        <v>383</v>
      </c>
      <c r="C303" s="131" t="s">
        <v>396</v>
      </c>
      <c r="D303" s="133">
        <v>18</v>
      </c>
      <c r="E303" s="133">
        <v>7</v>
      </c>
      <c r="F303" s="133">
        <v>13</v>
      </c>
      <c r="G303" s="133">
        <v>32</v>
      </c>
      <c r="H303" s="133">
        <v>15</v>
      </c>
      <c r="I303" s="133">
        <v>23</v>
      </c>
    </row>
    <row r="304" spans="1:9" x14ac:dyDescent="0.3">
      <c r="A304" s="274" t="s">
        <v>397</v>
      </c>
      <c r="B304" s="275"/>
      <c r="C304" s="131" t="s">
        <v>396</v>
      </c>
      <c r="D304" s="133">
        <v>18</v>
      </c>
      <c r="E304" s="132">
        <v>0</v>
      </c>
      <c r="F304" s="133">
        <v>26</v>
      </c>
      <c r="G304" s="133">
        <v>39</v>
      </c>
      <c r="H304" s="133">
        <v>1</v>
      </c>
      <c r="I304" s="133">
        <v>48</v>
      </c>
    </row>
    <row r="305" spans="1:9" x14ac:dyDescent="0.3">
      <c r="A305" s="131" t="s">
        <v>398</v>
      </c>
      <c r="B305" s="131">
        <v>-1985</v>
      </c>
      <c r="C305" s="131" t="s">
        <v>391</v>
      </c>
      <c r="D305" s="274" t="s">
        <v>399</v>
      </c>
      <c r="E305" s="276"/>
      <c r="F305" s="275"/>
      <c r="G305" s="274" t="s">
        <v>400</v>
      </c>
      <c r="H305" s="275"/>
      <c r="I305" s="131" t="s">
        <v>383</v>
      </c>
    </row>
    <row r="308" spans="1:9" x14ac:dyDescent="0.3">
      <c r="B308" s="134"/>
      <c r="C308" s="135" t="s">
        <v>401</v>
      </c>
      <c r="D308" s="136" t="s">
        <v>387</v>
      </c>
      <c r="E308" s="136" t="s">
        <v>388</v>
      </c>
      <c r="F308" s="136" t="s">
        <v>402</v>
      </c>
    </row>
    <row r="309" spans="1:9" x14ac:dyDescent="0.3">
      <c r="B309" s="98"/>
      <c r="C309" s="137" t="s">
        <v>385</v>
      </c>
      <c r="D309" s="138">
        <f>SUM(D299+D300+D301+D302+D303+D304+8)/7</f>
        <v>8.1428571428571423</v>
      </c>
      <c r="E309" s="138">
        <f>SUM(E299+E300+E301+E302+E303+E304+8)/7</f>
        <v>3.1428571428571428</v>
      </c>
      <c r="F309" s="138">
        <f>SUM(F299+F300+F301+F302+F303+F304+8)/7</f>
        <v>9.5714285714285712</v>
      </c>
    </row>
    <row r="310" spans="1:9" x14ac:dyDescent="0.3">
      <c r="B310" s="98"/>
      <c r="C310" s="137" t="s">
        <v>403</v>
      </c>
      <c r="D310" s="139">
        <f>SUM(G299+G300+G301+G302+G303+G304+19)/7</f>
        <v>18.571428571428573</v>
      </c>
      <c r="E310" s="139">
        <f>SUM(H299+H300+H301+H302+H303+H304+19)/7</f>
        <v>12.714285714285714</v>
      </c>
      <c r="F310" s="139">
        <f>SUM(I299+I300+I301+I302+I303+I304+19)/7</f>
        <v>18</v>
      </c>
    </row>
    <row r="311" spans="1:9" x14ac:dyDescent="0.3">
      <c r="D311" s="15"/>
    </row>
    <row r="312" spans="1:9" x14ac:dyDescent="0.3">
      <c r="D312" s="15"/>
    </row>
    <row r="313" spans="1:9" x14ac:dyDescent="0.3">
      <c r="D313" s="15"/>
    </row>
    <row r="314" spans="1:9" x14ac:dyDescent="0.3">
      <c r="A314" s="158" t="s">
        <v>462</v>
      </c>
      <c r="B314" s="161" t="s">
        <v>463</v>
      </c>
      <c r="C314" s="159"/>
      <c r="D314" s="160"/>
      <c r="E314" s="159"/>
      <c r="F314" s="159"/>
      <c r="G314" s="159"/>
      <c r="H314" s="159"/>
      <c r="I314" s="159"/>
    </row>
    <row r="315" spans="1:9" x14ac:dyDescent="0.3">
      <c r="D315" s="15"/>
    </row>
    <row r="316" spans="1:9" x14ac:dyDescent="0.3">
      <c r="D316" s="15"/>
    </row>
    <row r="317" spans="1:9" x14ac:dyDescent="0.3">
      <c r="D317" s="15"/>
    </row>
    <row r="318" spans="1:9" x14ac:dyDescent="0.3">
      <c r="D318" s="15"/>
    </row>
    <row r="319" spans="1:9" x14ac:dyDescent="0.3">
      <c r="D319" s="15"/>
    </row>
    <row r="320" spans="1:9" x14ac:dyDescent="0.3">
      <c r="D320" s="15"/>
    </row>
    <row r="321" spans="4:4" x14ac:dyDescent="0.3">
      <c r="D321" s="15"/>
    </row>
    <row r="322" spans="4:4" x14ac:dyDescent="0.3">
      <c r="D322" s="15"/>
    </row>
    <row r="323" spans="4:4" x14ac:dyDescent="0.3">
      <c r="D323" s="15"/>
    </row>
    <row r="324" spans="4:4" x14ac:dyDescent="0.3">
      <c r="D324" s="15"/>
    </row>
    <row r="325" spans="4:4" x14ac:dyDescent="0.3">
      <c r="D325" s="15"/>
    </row>
    <row r="326" spans="4:4" x14ac:dyDescent="0.3">
      <c r="D326" s="15"/>
    </row>
    <row r="327" spans="4:4" x14ac:dyDescent="0.3">
      <c r="D327" s="15"/>
    </row>
    <row r="328" spans="4:4" x14ac:dyDescent="0.3">
      <c r="D328" s="15"/>
    </row>
    <row r="329" spans="4:4" x14ac:dyDescent="0.3">
      <c r="D329" s="15"/>
    </row>
    <row r="330" spans="4:4" x14ac:dyDescent="0.3">
      <c r="D330" s="15"/>
    </row>
    <row r="331" spans="4:4" x14ac:dyDescent="0.3">
      <c r="D331" s="15"/>
    </row>
    <row r="332" spans="4:4" x14ac:dyDescent="0.3">
      <c r="D332" s="15"/>
    </row>
    <row r="333" spans="4:4" x14ac:dyDescent="0.3">
      <c r="D333" s="15"/>
    </row>
    <row r="334" spans="4:4" x14ac:dyDescent="0.3">
      <c r="D334" s="15"/>
    </row>
    <row r="335" spans="4:4" x14ac:dyDescent="0.3">
      <c r="D335" s="15"/>
    </row>
    <row r="336" spans="4:4" x14ac:dyDescent="0.3">
      <c r="D336" s="15"/>
    </row>
    <row r="337" spans="1:9" x14ac:dyDescent="0.3">
      <c r="D337" s="15"/>
    </row>
    <row r="338" spans="1:9" x14ac:dyDescent="0.3">
      <c r="D338" s="15"/>
    </row>
    <row r="341" spans="1:9" x14ac:dyDescent="0.3">
      <c r="A341" s="127" t="s">
        <v>408</v>
      </c>
      <c r="B341" s="128"/>
      <c r="C341" s="128"/>
      <c r="D341" s="128"/>
      <c r="E341" s="128"/>
      <c r="F341" s="128"/>
      <c r="G341" s="128"/>
      <c r="H341" s="128"/>
      <c r="I341" s="128"/>
    </row>
    <row r="342" spans="1:9" x14ac:dyDescent="0.3">
      <c r="A342" s="60"/>
      <c r="B342" s="30"/>
      <c r="C342" s="30"/>
      <c r="D342" s="30"/>
      <c r="E342" s="30"/>
      <c r="F342" s="30"/>
      <c r="G342" s="30"/>
      <c r="H342" s="30"/>
      <c r="I342" s="30"/>
    </row>
    <row r="343" spans="1:9" x14ac:dyDescent="0.3">
      <c r="A343" s="123" t="s">
        <v>409</v>
      </c>
      <c r="B343" s="30"/>
      <c r="C343" s="30"/>
      <c r="D343" s="30"/>
      <c r="E343" s="30"/>
      <c r="F343" s="30"/>
      <c r="G343" s="30"/>
      <c r="H343" s="30"/>
      <c r="I343" s="30"/>
    </row>
    <row r="344" spans="1:9" x14ac:dyDescent="0.3">
      <c r="A344" s="123"/>
      <c r="B344" s="30"/>
      <c r="C344" s="30"/>
      <c r="D344" s="30"/>
      <c r="E344" s="30"/>
      <c r="F344" s="30"/>
      <c r="G344" s="30"/>
      <c r="H344" s="30"/>
      <c r="I344" s="30"/>
    </row>
    <row r="345" spans="1:9" x14ac:dyDescent="0.3">
      <c r="A345" s="123" t="s">
        <v>410</v>
      </c>
      <c r="B345" s="123" t="s">
        <v>411</v>
      </c>
      <c r="C345" s="30"/>
      <c r="D345" s="30"/>
      <c r="E345" s="30"/>
      <c r="F345" s="30"/>
      <c r="G345" s="30"/>
      <c r="H345" s="30"/>
      <c r="I345" s="30"/>
    </row>
    <row r="346" spans="1:9" x14ac:dyDescent="0.3">
      <c r="B346" s="58" t="s">
        <v>412</v>
      </c>
      <c r="C346" s="58" t="s">
        <v>413</v>
      </c>
      <c r="D346" s="145" t="s">
        <v>414</v>
      </c>
    </row>
    <row r="347" spans="1:9" x14ac:dyDescent="0.3">
      <c r="A347" s="123" t="s">
        <v>415</v>
      </c>
      <c r="B347" s="140">
        <v>1</v>
      </c>
      <c r="C347" s="140">
        <v>1</v>
      </c>
      <c r="D347" s="146">
        <f t="shared" ref="D347:D351" si="12">AVERAGE(B347:C347)</f>
        <v>1</v>
      </c>
    </row>
    <row r="348" spans="1:9" x14ac:dyDescent="0.3">
      <c r="A348" s="123" t="s">
        <v>416</v>
      </c>
      <c r="B348">
        <v>1.0468999999999999</v>
      </c>
      <c r="C348">
        <v>1.0267999999999999</v>
      </c>
      <c r="D348" s="145">
        <f t="shared" si="12"/>
        <v>1.0368499999999998</v>
      </c>
    </row>
    <row r="349" spans="1:9" x14ac:dyDescent="0.3">
      <c r="A349" s="123" t="s">
        <v>417</v>
      </c>
      <c r="B349">
        <v>1.1065</v>
      </c>
      <c r="C349">
        <v>1.0620000000000001</v>
      </c>
      <c r="D349" s="145">
        <f t="shared" si="12"/>
        <v>1.0842499999999999</v>
      </c>
    </row>
    <row r="350" spans="1:9" x14ac:dyDescent="0.3">
      <c r="A350" s="123" t="s">
        <v>418</v>
      </c>
      <c r="B350">
        <v>1.1546000000000001</v>
      </c>
      <c r="C350">
        <v>1.0926</v>
      </c>
      <c r="D350" s="145">
        <f t="shared" si="12"/>
        <v>1.1236000000000002</v>
      </c>
    </row>
    <row r="351" spans="1:9" x14ac:dyDescent="0.3">
      <c r="A351" s="123" t="s">
        <v>419</v>
      </c>
      <c r="B351">
        <v>1.2089000000000001</v>
      </c>
      <c r="C351">
        <v>1.2330000000000001</v>
      </c>
      <c r="D351" s="145">
        <f t="shared" si="12"/>
        <v>1.2209500000000002</v>
      </c>
    </row>
    <row r="352" spans="1:9" x14ac:dyDescent="0.3">
      <c r="D352" s="145"/>
    </row>
    <row r="353" spans="1:9" x14ac:dyDescent="0.3">
      <c r="A353" s="123" t="s">
        <v>420</v>
      </c>
      <c r="B353" s="140">
        <v>1</v>
      </c>
      <c r="C353" s="140">
        <v>1</v>
      </c>
      <c r="D353" s="146">
        <f>AVERAGE(B353:C353)</f>
        <v>1</v>
      </c>
    </row>
    <row r="354" spans="1:9" x14ac:dyDescent="0.3">
      <c r="A354" s="123" t="s">
        <v>421</v>
      </c>
      <c r="B354">
        <v>1.0366</v>
      </c>
      <c r="C354">
        <v>1.0281</v>
      </c>
      <c r="D354" s="145">
        <f>AVERAGE(B354:C354)</f>
        <v>1.0323500000000001</v>
      </c>
    </row>
    <row r="355" spans="1:9" x14ac:dyDescent="0.3">
      <c r="A355" s="123" t="s">
        <v>422</v>
      </c>
      <c r="B355">
        <v>1.0860000000000001</v>
      </c>
      <c r="C355">
        <v>1.0647</v>
      </c>
      <c r="D355" s="145">
        <f>AVERAGE(B355:C355)</f>
        <v>1.07535</v>
      </c>
    </row>
    <row r="356" spans="1:9" x14ac:dyDescent="0.3">
      <c r="A356" s="123" t="s">
        <v>423</v>
      </c>
      <c r="B356">
        <v>1.1275999999999999</v>
      </c>
      <c r="C356">
        <v>1.0964</v>
      </c>
      <c r="D356" s="145">
        <f>AVERAGE(B356:C356)</f>
        <v>1.1120000000000001</v>
      </c>
    </row>
    <row r="357" spans="1:9" x14ac:dyDescent="0.3">
      <c r="A357" s="123" t="s">
        <v>424</v>
      </c>
      <c r="B357">
        <v>1.1709000000000001</v>
      </c>
      <c r="C357">
        <v>1.1269</v>
      </c>
      <c r="D357" s="145">
        <f>AVERAGE(B357:C357)</f>
        <v>1.1489</v>
      </c>
    </row>
    <row r="358" spans="1:9" x14ac:dyDescent="0.3">
      <c r="A358" s="123"/>
    </row>
    <row r="359" spans="1:9" x14ac:dyDescent="0.3">
      <c r="A359" s="123" t="s">
        <v>425</v>
      </c>
      <c r="B359" s="140">
        <f>AVERAGE(B347,B353)</f>
        <v>1</v>
      </c>
      <c r="C359" s="140">
        <f t="shared" ref="C359:D359" si="13">AVERAGE(C347,C353)</f>
        <v>1</v>
      </c>
      <c r="D359" s="147">
        <f t="shared" si="13"/>
        <v>1</v>
      </c>
      <c r="E359" s="148"/>
      <c r="F359" s="148"/>
      <c r="G359" s="148"/>
      <c r="H359" s="148"/>
      <c r="I359" s="148"/>
    </row>
    <row r="360" spans="1:9" x14ac:dyDescent="0.3">
      <c r="A360" s="123" t="s">
        <v>426</v>
      </c>
      <c r="B360" s="140">
        <f t="shared" ref="B360:D363" si="14">AVERAGE(B348,B354)</f>
        <v>1.04175</v>
      </c>
      <c r="C360" s="140">
        <f t="shared" si="14"/>
        <v>1.02745</v>
      </c>
      <c r="D360" s="147">
        <f t="shared" si="14"/>
        <v>1.0346</v>
      </c>
      <c r="E360" s="148"/>
      <c r="F360" s="148"/>
      <c r="G360" s="148"/>
      <c r="H360" s="148"/>
      <c r="I360" s="148"/>
    </row>
    <row r="361" spans="1:9" x14ac:dyDescent="0.3">
      <c r="A361" s="123" t="s">
        <v>427</v>
      </c>
      <c r="B361" s="140">
        <f t="shared" si="14"/>
        <v>1.0962499999999999</v>
      </c>
      <c r="C361" s="140">
        <f t="shared" si="14"/>
        <v>1.06335</v>
      </c>
      <c r="D361" s="147">
        <f t="shared" si="14"/>
        <v>1.0798000000000001</v>
      </c>
      <c r="E361" s="148"/>
      <c r="F361" s="148"/>
      <c r="G361" s="148"/>
      <c r="H361" s="148"/>
      <c r="I361" s="148"/>
    </row>
    <row r="362" spans="1:9" x14ac:dyDescent="0.3">
      <c r="A362" s="123" t="s">
        <v>428</v>
      </c>
      <c r="B362" s="140">
        <f t="shared" si="14"/>
        <v>1.1411</v>
      </c>
      <c r="C362" s="140">
        <f t="shared" si="14"/>
        <v>1.0945</v>
      </c>
      <c r="D362" s="147">
        <f t="shared" si="14"/>
        <v>1.1178000000000001</v>
      </c>
      <c r="E362" s="148"/>
      <c r="F362" s="148"/>
      <c r="G362" s="148"/>
      <c r="H362" s="148"/>
      <c r="I362" s="148"/>
    </row>
    <row r="363" spans="1:9" x14ac:dyDescent="0.3">
      <c r="A363" s="123" t="s">
        <v>429</v>
      </c>
      <c r="B363" s="140">
        <f t="shared" si="14"/>
        <v>1.1899000000000002</v>
      </c>
      <c r="C363" s="140">
        <f t="shared" si="14"/>
        <v>1.1799500000000001</v>
      </c>
      <c r="D363" s="147">
        <f t="shared" si="14"/>
        <v>1.1849250000000002</v>
      </c>
      <c r="E363" s="148"/>
      <c r="F363" s="148"/>
      <c r="G363" s="148"/>
      <c r="H363" s="148"/>
      <c r="I363" s="148"/>
    </row>
    <row r="364" spans="1:9" x14ac:dyDescent="0.3">
      <c r="D364" s="149" t="s">
        <v>430</v>
      </c>
      <c r="E364" s="148"/>
      <c r="F364" s="148"/>
      <c r="G364" s="148"/>
      <c r="H364" s="148"/>
      <c r="I364" s="148"/>
    </row>
  </sheetData>
  <mergeCells count="7">
    <mergeCell ref="A302:B302"/>
    <mergeCell ref="A304:B304"/>
    <mergeCell ref="D305:F305"/>
    <mergeCell ref="G305:H305"/>
    <mergeCell ref="C297:C298"/>
    <mergeCell ref="D297:F297"/>
    <mergeCell ref="G297:H297"/>
  </mergeCells>
  <hyperlinks>
    <hyperlink ref="I31" r:id="rId1" xr:uid="{00000000-0004-0000-0900-000000000000}"/>
    <hyperlink ref="I36" r:id="rId2" xr:uid="{00000000-0004-0000-0900-000001000000}"/>
    <hyperlink ref="I26" r:id="rId3" xr:uid="{540486C1-6097-4B40-AFD5-C672583DD8C8}"/>
    <hyperlink ref="B295" r:id="rId4" xr:uid="{9FD86D59-E005-4103-BA4B-D4312719A9D4}"/>
    <hyperlink ref="B314" r:id="rId5" xr:uid="{CCCFEFAD-BAF5-4D47-806B-EBC753C3158C}"/>
  </hyperlinks>
  <pageMargins left="0.7" right="0.7" top="0.75" bottom="0.75" header="0.3" footer="0.3"/>
  <pageSetup paperSize="9"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21"/>
  <sheetViews>
    <sheetView topLeftCell="A4" zoomScale="115" zoomScaleNormal="115" workbookViewId="0">
      <selection activeCell="E7" sqref="E7"/>
    </sheetView>
  </sheetViews>
  <sheetFormatPr defaultRowHeight="14.4" x14ac:dyDescent="0.3"/>
  <cols>
    <col min="1" max="1" width="16.5546875" customWidth="1"/>
    <col min="2" max="2" width="52.6640625" bestFit="1" customWidth="1"/>
    <col min="3" max="3" width="16.6640625" customWidth="1"/>
    <col min="4" max="4" width="13.88671875" customWidth="1"/>
    <col min="5" max="5" width="11.109375" bestFit="1" customWidth="1"/>
    <col min="6" max="6" width="12.88671875" customWidth="1"/>
    <col min="7" max="7" width="11.44140625" customWidth="1"/>
    <col min="8" max="8" width="14.21875" bestFit="1" customWidth="1"/>
    <col min="9" max="9" width="10.6640625" customWidth="1"/>
  </cols>
  <sheetData>
    <row r="1" spans="1:11" x14ac:dyDescent="0.3">
      <c r="A1" s="228" t="s">
        <v>669</v>
      </c>
      <c r="B1" s="229"/>
      <c r="C1" s="229"/>
      <c r="D1" s="229"/>
      <c r="E1" s="229"/>
      <c r="F1" s="229"/>
    </row>
    <row r="2" spans="1:11" x14ac:dyDescent="0.3">
      <c r="A2" s="1"/>
    </row>
    <row r="3" spans="1:11" x14ac:dyDescent="0.3">
      <c r="B3" s="116" t="s">
        <v>263</v>
      </c>
      <c r="C3" s="234">
        <v>2023</v>
      </c>
      <c r="D3" s="30" t="s">
        <v>249</v>
      </c>
      <c r="E3" s="30"/>
      <c r="F3" s="30"/>
    </row>
    <row r="4" spans="1:11" x14ac:dyDescent="0.3">
      <c r="C4" s="30"/>
      <c r="D4" s="30"/>
      <c r="E4" s="30"/>
      <c r="F4" s="30"/>
    </row>
    <row r="5" spans="1:11" x14ac:dyDescent="0.3">
      <c r="A5" s="252" t="s">
        <v>264</v>
      </c>
      <c r="B5" s="252" t="s">
        <v>265</v>
      </c>
      <c r="C5" s="254" t="s">
        <v>250</v>
      </c>
      <c r="D5" s="235" t="s">
        <v>266</v>
      </c>
      <c r="E5" s="235" t="s">
        <v>267</v>
      </c>
      <c r="F5" s="235" t="s">
        <v>268</v>
      </c>
    </row>
    <row r="6" spans="1:11" x14ac:dyDescent="0.3">
      <c r="A6" s="253"/>
      <c r="B6" s="253"/>
      <c r="C6" s="255"/>
      <c r="D6" s="236" t="s">
        <v>269</v>
      </c>
      <c r="E6" s="236" t="s">
        <v>269</v>
      </c>
      <c r="F6" s="236" t="s">
        <v>269</v>
      </c>
    </row>
    <row r="7" spans="1:11" x14ac:dyDescent="0.3">
      <c r="A7" s="256" t="s">
        <v>270</v>
      </c>
      <c r="B7" s="112" t="s">
        <v>257</v>
      </c>
      <c r="C7" s="111" t="s">
        <v>251</v>
      </c>
      <c r="D7" s="230">
        <f>'Smart TC System JT Savings'!$H$14+SUM('Smart PT Hubs EV charging'!$E$17:$E$21)+'Smart PT Hubs EV charging'!$C$111</f>
        <v>42620.57515450706</v>
      </c>
      <c r="E7" s="230">
        <f>'Smart TC System JT Savings'!$H$14+SUM('Smart PT Hubs EV charging'!$E$17:$E$21)+'Smart PT Hubs EV charging'!$C$111</f>
        <v>42620.57515450706</v>
      </c>
      <c r="F7" s="230"/>
    </row>
    <row r="8" spans="1:11" x14ac:dyDescent="0.3">
      <c r="A8" s="257"/>
      <c r="B8" s="113" t="s">
        <v>258</v>
      </c>
      <c r="C8" s="109" t="s">
        <v>252</v>
      </c>
      <c r="D8" s="230">
        <f>'Smart TC System JT Savings'!$H$16/60</f>
        <v>8002.4118126362973</v>
      </c>
      <c r="E8" s="230">
        <f>'Smart TC System JT Savings'!$H$16/60</f>
        <v>8002.4118126362973</v>
      </c>
      <c r="F8" s="230"/>
    </row>
    <row r="9" spans="1:11" x14ac:dyDescent="0.3">
      <c r="A9" s="257"/>
      <c r="B9" s="113" t="s">
        <v>248</v>
      </c>
      <c r="C9" s="109" t="s">
        <v>253</v>
      </c>
      <c r="D9" s="230">
        <f>'Smart TC System JT Savings'!$H$15</f>
        <v>160840.33586743003</v>
      </c>
      <c r="E9" s="230">
        <f>'Smart TC System JT Savings'!$H$15</f>
        <v>160840.33586743003</v>
      </c>
      <c r="F9" s="230"/>
    </row>
    <row r="10" spans="1:11" x14ac:dyDescent="0.3">
      <c r="A10" s="257"/>
      <c r="B10" s="114" t="s">
        <v>259</v>
      </c>
      <c r="C10" s="110" t="s">
        <v>254</v>
      </c>
      <c r="D10" s="231"/>
      <c r="E10" s="231"/>
      <c r="F10" s="231"/>
    </row>
    <row r="11" spans="1:11" x14ac:dyDescent="0.3">
      <c r="A11" s="257"/>
      <c r="B11" s="115" t="s">
        <v>260</v>
      </c>
      <c r="C11" s="111" t="s">
        <v>255</v>
      </c>
      <c r="D11" s="237">
        <f>SUM(('Bus+Tram Pax value of time'!$J$24+'Bus+Tram Pax value of time'!$J$25)/3)+('Smart TC System JT Savings'!$A$65/365/2)</f>
        <v>97086.380986904114</v>
      </c>
      <c r="E11" s="237">
        <f>SUM(('Bus+Tram Pax value of time'!$J$24+'Bus+Tram Pax value of time'!$J$25)/3)+('Smart TC System JT Savings'!$A$65/365/2)</f>
        <v>97086.380986904114</v>
      </c>
      <c r="F11" s="237">
        <f>SUM(('Bus+Tram Pax value of time'!$J$24+'Bus+Tram Pax value of time'!$J$25)/3)</f>
        <v>36731.672082794517</v>
      </c>
    </row>
    <row r="12" spans="1:11" x14ac:dyDescent="0.3">
      <c r="A12" s="257"/>
      <c r="B12" s="113" t="s">
        <v>261</v>
      </c>
      <c r="C12" s="109" t="s">
        <v>256</v>
      </c>
      <c r="D12" s="230">
        <f>('Bus+Tram Pax value of time'!$I$26/3)+('Smart TC System JT Savings'!$I$62/220/2)</f>
        <v>28561.705892937054</v>
      </c>
      <c r="E12" s="230">
        <f>('Bus+Tram Pax value of time'!$I$26/3)+('Smart TC System JT Savings'!$I$62/220/2)</f>
        <v>28561.705892937054</v>
      </c>
      <c r="F12" s="230">
        <f>'Bus+Tram Pax value of time'!$I$26/3</f>
        <v>657.712142937051</v>
      </c>
    </row>
    <row r="13" spans="1:11" x14ac:dyDescent="0.3">
      <c r="A13" s="257"/>
      <c r="B13" s="114" t="s">
        <v>262</v>
      </c>
      <c r="C13" s="110" t="s">
        <v>254</v>
      </c>
      <c r="D13" s="231"/>
      <c r="E13" s="231"/>
      <c r="F13" s="231"/>
    </row>
    <row r="14" spans="1:11" x14ac:dyDescent="0.3">
      <c r="A14" s="256" t="s">
        <v>271</v>
      </c>
      <c r="B14" s="112" t="s">
        <v>257</v>
      </c>
      <c r="C14" s="108" t="s">
        <v>251</v>
      </c>
      <c r="D14" s="230">
        <f>D7-('Smart PT Hubs EV charging'!$E$37/220/3)</f>
        <v>42585.250154507063</v>
      </c>
      <c r="E14" s="230">
        <f>E7-('Smart PT Hubs EV charging'!$E$37/220/3)</f>
        <v>42585.250154507063</v>
      </c>
      <c r="F14" s="230">
        <f>0-'Smart PT Hubs EV charging'!$E$37/220/3</f>
        <v>-35.32500000000001</v>
      </c>
      <c r="H14" s="282">
        <f>D14-D7</f>
        <v>-35.32499999999709</v>
      </c>
      <c r="I14" s="282">
        <f>E14-E7</f>
        <v>-35.32499999999709</v>
      </c>
      <c r="J14" s="282">
        <f>F14-F7</f>
        <v>-35.32500000000001</v>
      </c>
      <c r="K14" s="282">
        <f>SUM(H14:J14)</f>
        <v>-105.9749999999942</v>
      </c>
    </row>
    <row r="15" spans="1:11" x14ac:dyDescent="0.3">
      <c r="A15" s="257"/>
      <c r="B15" s="113" t="s">
        <v>258</v>
      </c>
      <c r="C15" s="109" t="s">
        <v>252</v>
      </c>
      <c r="D15" s="230">
        <f>D8-('Smart TC System JT Savings'!$D$38/60/220/2)</f>
        <v>7916.0128646689409</v>
      </c>
      <c r="E15" s="230">
        <f>E8-('Smart TC System JT Savings'!$D$38/60/220/2)</f>
        <v>7916.0128646689409</v>
      </c>
      <c r="F15" s="230"/>
      <c r="H15" s="282">
        <f t="shared" ref="H15:J17" si="0">D15-D8</f>
        <v>-86.398947967356435</v>
      </c>
      <c r="I15" s="282">
        <f t="shared" si="0"/>
        <v>-86.398947967356435</v>
      </c>
      <c r="J15" s="282">
        <f t="shared" si="0"/>
        <v>0</v>
      </c>
      <c r="K15" s="282">
        <f>SUM(H15:J15)</f>
        <v>-172.79789593471287</v>
      </c>
    </row>
    <row r="16" spans="1:11" x14ac:dyDescent="0.3">
      <c r="A16" s="257"/>
      <c r="B16" s="113" t="s">
        <v>248</v>
      </c>
      <c r="C16" s="109" t="s">
        <v>253</v>
      </c>
      <c r="D16" s="230">
        <f>D9-('Smart PT Hubs EV charging'!$C$113/220/3)</f>
        <v>159975.31346743004</v>
      </c>
      <c r="E16" s="230">
        <f>E9-('Smart PT Hubs EV charging'!$C$113/220/3)</f>
        <v>159975.31346743004</v>
      </c>
      <c r="F16" s="230">
        <f>('Smart PT Hubs EV charging'!B113*'DfT Scheme Impact Proforma'!F14)</f>
        <v>-488.9106604800001</v>
      </c>
      <c r="H16" s="282">
        <f t="shared" si="0"/>
        <v>-865.0223999999871</v>
      </c>
      <c r="I16" s="282">
        <f t="shared" si="0"/>
        <v>-865.0223999999871</v>
      </c>
      <c r="J16" s="282">
        <f t="shared" si="0"/>
        <v>-488.9106604800001</v>
      </c>
      <c r="K16" s="282">
        <f>SUM(H16:J16)</f>
        <v>-2218.9554604799741</v>
      </c>
    </row>
    <row r="17" spans="1:11" x14ac:dyDescent="0.3">
      <c r="A17" s="257"/>
      <c r="B17" s="114" t="s">
        <v>259</v>
      </c>
      <c r="C17" s="110" t="s">
        <v>254</v>
      </c>
      <c r="D17" s="231"/>
      <c r="E17" s="231"/>
      <c r="F17" s="231"/>
      <c r="H17" s="282">
        <f t="shared" si="0"/>
        <v>0</v>
      </c>
      <c r="I17" s="282">
        <f t="shared" si="0"/>
        <v>0</v>
      </c>
      <c r="J17" s="282">
        <f t="shared" si="0"/>
        <v>0</v>
      </c>
    </row>
    <row r="18" spans="1:11" x14ac:dyDescent="0.3">
      <c r="A18" s="257"/>
      <c r="B18" s="115" t="s">
        <v>260</v>
      </c>
      <c r="C18" s="111" t="s">
        <v>255</v>
      </c>
      <c r="D18" s="237">
        <f>SUM(('Bus+Tram Pax value of time'!$J$24+'Bus+Tram Pax value of time'!$J$25)/3)+('Smart TC System JT Savings'!$A$65/365/2)+('Smart PT Hubs EV charging'!$D$25/220/3)</f>
        <v>97121.705986904111</v>
      </c>
      <c r="E18" s="237">
        <f>SUM(('Bus+Tram Pax value of time'!$J$24+'Bus+Tram Pax value of time'!$J$25)/3)+('Smart TC System JT Savings'!$A$65/365/2)+('Smart PT Hubs EV charging'!$D$25/220/3)</f>
        <v>97121.705986904111</v>
      </c>
      <c r="F18" s="237">
        <f>SUM(('Bus+Tram Pax value of time'!$J$24+'Bus+Tram Pax value of time'!$J$25)/3)+('Smart PT Hubs EV charging'!$D$25/220/3)</f>
        <v>36766.997082794514</v>
      </c>
      <c r="H18" s="282">
        <f>D18-D11</f>
        <v>35.32499999999709</v>
      </c>
      <c r="I18" s="282">
        <f t="shared" ref="I18:J18" si="1">E18-E11</f>
        <v>35.32499999999709</v>
      </c>
      <c r="J18" s="282">
        <f t="shared" si="1"/>
        <v>35.32499999999709</v>
      </c>
      <c r="K18" s="282">
        <f>SUM(H18:J18)</f>
        <v>105.97499999999127</v>
      </c>
    </row>
    <row r="19" spans="1:11" x14ac:dyDescent="0.3">
      <c r="A19" s="257"/>
      <c r="B19" s="113" t="s">
        <v>261</v>
      </c>
      <c r="C19" s="109" t="s">
        <v>256</v>
      </c>
      <c r="D19" s="230">
        <f>D12-('Bus+Tram Pax value of time'!$B$30/365/3)-('Smart TC System JT Savings'!$B$78/220/2)</f>
        <v>28468.553929880851</v>
      </c>
      <c r="E19" s="230">
        <f>E12-('Bus+Tram Pax value of time'!$B$30/365/3)-('Smart TC System JT Savings'!$B$78/220/2)</f>
        <v>28468.553929880851</v>
      </c>
      <c r="F19" s="230">
        <f>F12-'Bus+Tram Pax value of time'!$B$30/365/3</f>
        <v>632.20403732399927</v>
      </c>
      <c r="H19" s="282">
        <f>D19-D12</f>
        <v>-93.151963056203385</v>
      </c>
      <c r="I19" s="282">
        <f t="shared" ref="I19" si="2">E19-E12</f>
        <v>-93.151963056203385</v>
      </c>
      <c r="J19" s="282">
        <f t="shared" ref="J19" si="3">F19-F12</f>
        <v>-25.508105613051725</v>
      </c>
      <c r="K19" s="282">
        <f>SUM(H19:J19)</f>
        <v>-211.8120317254585</v>
      </c>
    </row>
    <row r="20" spans="1:11" x14ac:dyDescent="0.3">
      <c r="A20" s="258"/>
      <c r="B20" s="114" t="s">
        <v>262</v>
      </c>
      <c r="C20" s="110" t="s">
        <v>254</v>
      </c>
      <c r="D20" s="231"/>
      <c r="E20" s="231"/>
      <c r="F20" s="231"/>
    </row>
    <row r="21" spans="1:11" x14ac:dyDescent="0.3">
      <c r="C21" s="77"/>
      <c r="D21" s="77"/>
    </row>
  </sheetData>
  <mergeCells count="5">
    <mergeCell ref="B5:B6"/>
    <mergeCell ref="C5:C6"/>
    <mergeCell ref="A7:A13"/>
    <mergeCell ref="A14:A20"/>
    <mergeCell ref="A5:A6"/>
  </mergeCell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N50"/>
  <sheetViews>
    <sheetView zoomScale="70" zoomScaleNormal="70" workbookViewId="0">
      <selection activeCell="E60" sqref="E60"/>
    </sheetView>
  </sheetViews>
  <sheetFormatPr defaultRowHeight="14.4" x14ac:dyDescent="0.3"/>
  <cols>
    <col min="1" max="1" width="2.77734375" customWidth="1"/>
    <col min="2" max="2" width="24.109375" customWidth="1"/>
    <col min="3" max="3" width="47.109375" customWidth="1"/>
    <col min="4" max="4" width="15.21875" customWidth="1"/>
    <col min="5" max="5" width="16.5546875" customWidth="1"/>
    <col min="6" max="6" width="18.44140625" customWidth="1"/>
    <col min="7" max="7" width="15.77734375" customWidth="1"/>
    <col min="8" max="8" width="24.77734375" customWidth="1"/>
    <col min="9" max="9" width="16.33203125" customWidth="1"/>
    <col min="10" max="10" width="16.5546875" customWidth="1"/>
    <col min="11" max="11" width="16.33203125" customWidth="1"/>
    <col min="12" max="12" width="31.5546875" bestFit="1" customWidth="1"/>
    <col min="13" max="13" width="20" customWidth="1"/>
    <col min="14" max="14" width="10.88671875" bestFit="1" customWidth="1"/>
    <col min="15" max="15" width="12.77734375" customWidth="1"/>
    <col min="16" max="16" width="22.109375" customWidth="1"/>
    <col min="17" max="17" width="12.5546875" customWidth="1"/>
  </cols>
  <sheetData>
    <row r="1" spans="1:13" x14ac:dyDescent="0.3">
      <c r="A1" s="1" t="s">
        <v>244</v>
      </c>
    </row>
    <row r="2" spans="1:13" x14ac:dyDescent="0.3">
      <c r="A2" s="1"/>
    </row>
    <row r="3" spans="1:13" x14ac:dyDescent="0.3">
      <c r="B3" s="1" t="s">
        <v>516</v>
      </c>
    </row>
    <row r="4" spans="1:13" x14ac:dyDescent="0.3">
      <c r="C4" s="2" t="s">
        <v>122</v>
      </c>
    </row>
    <row r="5" spans="1:13" x14ac:dyDescent="0.3">
      <c r="B5" t="s">
        <v>245</v>
      </c>
      <c r="C5" s="105">
        <f>G20</f>
        <v>5045000</v>
      </c>
    </row>
    <row r="6" spans="1:13" x14ac:dyDescent="0.3">
      <c r="B6" t="s">
        <v>243</v>
      </c>
      <c r="C6" s="105">
        <f>K20</f>
        <v>650000</v>
      </c>
    </row>
    <row r="7" spans="1:13" x14ac:dyDescent="0.3">
      <c r="C7" s="106">
        <f>SUM(C5:C6)</f>
        <v>5695000</v>
      </c>
      <c r="D7" s="12" t="s">
        <v>518</v>
      </c>
    </row>
    <row r="9" spans="1:13" x14ac:dyDescent="0.3">
      <c r="B9" s="268" t="s">
        <v>493</v>
      </c>
      <c r="C9" s="268" t="s">
        <v>492</v>
      </c>
      <c r="D9" s="268" t="s">
        <v>494</v>
      </c>
      <c r="E9" s="268" t="s">
        <v>483</v>
      </c>
      <c r="F9" s="262" t="s">
        <v>495</v>
      </c>
      <c r="G9" s="262" t="s">
        <v>562</v>
      </c>
      <c r="H9" s="262" t="s">
        <v>568</v>
      </c>
      <c r="I9" s="262" t="s">
        <v>570</v>
      </c>
      <c r="J9" s="262" t="s">
        <v>496</v>
      </c>
      <c r="K9" s="268" t="s">
        <v>574</v>
      </c>
      <c r="L9" s="268"/>
      <c r="M9" s="262" t="s">
        <v>567</v>
      </c>
    </row>
    <row r="10" spans="1:13" x14ac:dyDescent="0.3">
      <c r="B10" s="268"/>
      <c r="C10" s="268"/>
      <c r="D10" s="268"/>
      <c r="E10" s="268"/>
      <c r="F10" s="262"/>
      <c r="G10" s="262"/>
      <c r="H10" s="262"/>
      <c r="I10" s="262"/>
      <c r="J10" s="262"/>
      <c r="K10" s="268"/>
      <c r="L10" s="268"/>
      <c r="M10" s="262"/>
    </row>
    <row r="11" spans="1:13" x14ac:dyDescent="0.3">
      <c r="B11" s="267" t="s">
        <v>486</v>
      </c>
      <c r="C11" t="s">
        <v>481</v>
      </c>
      <c r="D11" s="36">
        <v>300000</v>
      </c>
      <c r="E11" s="36" t="s">
        <v>484</v>
      </c>
      <c r="F11" s="15">
        <v>0.1</v>
      </c>
      <c r="G11" s="36">
        <f>D11+SUM(D11*F11)</f>
        <v>330000</v>
      </c>
      <c r="H11" s="36">
        <f>SUM(G11+K11)/'Factors and data'!$B$156*'Factors and data'!$B$147</f>
        <v>283937.84538947284</v>
      </c>
      <c r="I11" s="260">
        <f>H11+H12</f>
        <v>735657.14487272501</v>
      </c>
      <c r="J11" s="260">
        <f>'Mode shift to bus+tram'!L71+'Operating cost savings'!D35+'Operating cost savings'!F79+'Bus+Tram Pax value of time'!E46+'Bus+Tram Pax value of time'!E85</f>
        <v>4789896.078408068</v>
      </c>
      <c r="K11" s="36">
        <v>0</v>
      </c>
      <c r="L11" s="63"/>
      <c r="M11" s="36">
        <f t="shared" ref="M11:M19" si="0">G11+K11</f>
        <v>330000</v>
      </c>
    </row>
    <row r="12" spans="1:13" x14ac:dyDescent="0.3">
      <c r="B12" s="267"/>
      <c r="C12" t="s">
        <v>482</v>
      </c>
      <c r="D12" s="36">
        <v>250000</v>
      </c>
      <c r="E12" s="36" t="s">
        <v>484</v>
      </c>
      <c r="F12" s="15">
        <v>0.1</v>
      </c>
      <c r="G12" s="36">
        <f t="shared" ref="G12:G19" si="1">D12+SUM(D12*F12)</f>
        <v>275000</v>
      </c>
      <c r="H12" s="36">
        <f>SUM(G12+K12)/'Factors and data'!$B$156*'Factors and data'!$B$147</f>
        <v>451719.29948325222</v>
      </c>
      <c r="I12" s="261"/>
      <c r="J12" s="261"/>
      <c r="K12" s="36">
        <v>250000</v>
      </c>
      <c r="L12" s="63" t="s">
        <v>563</v>
      </c>
      <c r="M12" s="36">
        <f t="shared" si="0"/>
        <v>525000</v>
      </c>
    </row>
    <row r="13" spans="1:13" x14ac:dyDescent="0.3">
      <c r="B13" s="267" t="s">
        <v>485</v>
      </c>
      <c r="C13" t="s">
        <v>487</v>
      </c>
      <c r="D13" s="29">
        <v>2300000</v>
      </c>
      <c r="E13" s="36" t="s">
        <v>484</v>
      </c>
      <c r="F13" s="15">
        <v>0.1</v>
      </c>
      <c r="G13" s="36">
        <f t="shared" si="1"/>
        <v>2530000</v>
      </c>
      <c r="H13" s="36">
        <f>SUM(G13+K13)/'Factors and data'!$B$156*'Factors and data'!$B$147</f>
        <v>2176856.8146526255</v>
      </c>
      <c r="I13" s="260">
        <f>H13+H14</f>
        <v>2271502.7631157832</v>
      </c>
      <c r="J13" s="260">
        <f>'RTI amenity value'!E40</f>
        <v>6346026.5163655085</v>
      </c>
      <c r="K13" s="36">
        <v>0</v>
      </c>
      <c r="L13" s="63"/>
      <c r="M13" s="36">
        <f t="shared" si="0"/>
        <v>2530000</v>
      </c>
    </row>
    <row r="14" spans="1:13" x14ac:dyDescent="0.3">
      <c r="B14" s="266"/>
      <c r="C14" t="s">
        <v>488</v>
      </c>
      <c r="D14" s="36">
        <v>100000</v>
      </c>
      <c r="E14" s="36" t="s">
        <v>484</v>
      </c>
      <c r="F14" s="15">
        <v>0.1</v>
      </c>
      <c r="G14" s="36">
        <f t="shared" si="1"/>
        <v>110000</v>
      </c>
      <c r="H14" s="36">
        <f>SUM(G14+K14)/'Factors and data'!$B$156*'Factors and data'!$B$147</f>
        <v>94645.94846315762</v>
      </c>
      <c r="I14" s="261"/>
      <c r="J14" s="260"/>
      <c r="K14" s="36">
        <v>0</v>
      </c>
      <c r="L14" s="63"/>
      <c r="M14" s="36">
        <f t="shared" si="0"/>
        <v>110000</v>
      </c>
    </row>
    <row r="15" spans="1:13" x14ac:dyDescent="0.3">
      <c r="B15" s="269" t="s">
        <v>489</v>
      </c>
      <c r="C15" t="s">
        <v>490</v>
      </c>
      <c r="D15" s="36">
        <v>500000</v>
      </c>
      <c r="E15" t="s">
        <v>560</v>
      </c>
      <c r="F15" s="15">
        <v>0.25</v>
      </c>
      <c r="G15" s="36">
        <f t="shared" si="1"/>
        <v>625000</v>
      </c>
      <c r="H15" s="36">
        <f>SUM(G15+K15)/'Factors and data'!$B$156*'Factors and data'!$B$147</f>
        <v>537761.07081339555</v>
      </c>
      <c r="I15" s="260">
        <f>SUM(H15:H17)</f>
        <v>1161563.9129569344</v>
      </c>
      <c r="J15" s="260">
        <f>'Smart TC System JT Savings'!G54+'Smart TC System JT Savings'!E94</f>
        <v>6919384.2646575682</v>
      </c>
      <c r="K15" s="36">
        <v>0</v>
      </c>
      <c r="L15" s="63"/>
      <c r="M15" s="36">
        <f t="shared" si="0"/>
        <v>625000</v>
      </c>
    </row>
    <row r="16" spans="1:13" ht="28.8" x14ac:dyDescent="0.3">
      <c r="B16" s="261"/>
      <c r="C16" s="167" t="s">
        <v>522</v>
      </c>
      <c r="D16" s="36">
        <v>100000</v>
      </c>
      <c r="E16" t="s">
        <v>560</v>
      </c>
      <c r="F16" s="15">
        <v>0.25</v>
      </c>
      <c r="G16" s="36">
        <f t="shared" si="1"/>
        <v>125000</v>
      </c>
      <c r="H16" s="36">
        <f>SUM(G16+K16)/'Factors and data'!$B$156*'Factors and data'!$B$147</f>
        <v>193593.98549282242</v>
      </c>
      <c r="I16" s="261"/>
      <c r="J16" s="260"/>
      <c r="K16" s="36">
        <v>100000</v>
      </c>
      <c r="L16" s="63" t="s">
        <v>566</v>
      </c>
      <c r="M16" s="36">
        <f t="shared" si="0"/>
        <v>225000</v>
      </c>
    </row>
    <row r="17" spans="2:14" x14ac:dyDescent="0.3">
      <c r="B17" s="261"/>
      <c r="C17" t="s">
        <v>491</v>
      </c>
      <c r="D17" s="36">
        <v>400000</v>
      </c>
      <c r="E17" t="s">
        <v>560</v>
      </c>
      <c r="F17" s="15">
        <v>0.25</v>
      </c>
      <c r="G17" s="36">
        <f t="shared" si="1"/>
        <v>500000</v>
      </c>
      <c r="H17" s="36">
        <f>SUM(G17+K17)/'Factors and data'!$B$156*'Factors and data'!$B$147</f>
        <v>430208.85665071645</v>
      </c>
      <c r="I17" s="261"/>
      <c r="J17" s="260"/>
      <c r="K17" s="36">
        <v>0</v>
      </c>
      <c r="L17" s="63"/>
      <c r="M17" s="36">
        <f t="shared" si="0"/>
        <v>500000</v>
      </c>
    </row>
    <row r="18" spans="2:14" x14ac:dyDescent="0.3">
      <c r="B18" s="259" t="s">
        <v>497</v>
      </c>
      <c r="C18" s="30" t="s">
        <v>498</v>
      </c>
      <c r="D18" s="29">
        <v>250000</v>
      </c>
      <c r="E18" s="36" t="s">
        <v>484</v>
      </c>
      <c r="F18" s="15">
        <v>0.1</v>
      </c>
      <c r="G18" s="36">
        <f t="shared" si="1"/>
        <v>275000</v>
      </c>
      <c r="H18" s="36">
        <f>SUM(G18+K18)/'Factors and data'!$B$156*'Factors and data'!$B$147</f>
        <v>451719.29948325222</v>
      </c>
      <c r="I18" s="260">
        <f>H18+H19</f>
        <v>731355.05630621791</v>
      </c>
      <c r="J18" s="260">
        <f>'Smart PT Hubs EV charging'!K78+'Smart PT Hubs EV charging'!M146</f>
        <v>3379065.4077245533</v>
      </c>
      <c r="K18" s="36">
        <v>250000</v>
      </c>
      <c r="L18" s="63" t="s">
        <v>501</v>
      </c>
      <c r="M18" s="36">
        <f t="shared" si="0"/>
        <v>525000</v>
      </c>
    </row>
    <row r="19" spans="2:14" x14ac:dyDescent="0.3">
      <c r="B19" s="259"/>
      <c r="C19" t="s">
        <v>499</v>
      </c>
      <c r="D19" s="29">
        <v>250000</v>
      </c>
      <c r="E19" s="36" t="s">
        <v>484</v>
      </c>
      <c r="F19" s="15">
        <v>0.1</v>
      </c>
      <c r="G19" s="36">
        <f t="shared" si="1"/>
        <v>275000</v>
      </c>
      <c r="H19" s="36">
        <f>SUM(G19+K19)/'Factors and data'!$B$156*'Factors and data'!$B$147</f>
        <v>279635.75682296569</v>
      </c>
      <c r="I19" s="261"/>
      <c r="J19" s="260"/>
      <c r="K19" s="36">
        <v>50000</v>
      </c>
      <c r="L19" s="63" t="s">
        <v>561</v>
      </c>
      <c r="M19" s="36">
        <f t="shared" si="0"/>
        <v>325000</v>
      </c>
    </row>
    <row r="20" spans="2:14" x14ac:dyDescent="0.3">
      <c r="D20" s="174">
        <f>SUM(D11:D19)</f>
        <v>4450000</v>
      </c>
      <c r="G20" s="173">
        <f t="shared" ref="G20:I20" si="2">SUM(G11:G19)</f>
        <v>5045000</v>
      </c>
      <c r="H20" s="193">
        <f>SUM(H11:H19)</f>
        <v>4900078.8772516605</v>
      </c>
      <c r="I20" s="36">
        <f t="shared" si="2"/>
        <v>4900078.8772516605</v>
      </c>
      <c r="J20" s="36">
        <f>SUM(J11:J19)</f>
        <v>21434372.267155696</v>
      </c>
      <c r="K20" s="179">
        <f>SUM(K11:K19)</f>
        <v>650000</v>
      </c>
      <c r="M20" s="175">
        <f>SUM(M11:M19)</f>
        <v>5695000</v>
      </c>
    </row>
    <row r="21" spans="2:14" ht="57.6" x14ac:dyDescent="0.3">
      <c r="D21" s="177" t="s">
        <v>564</v>
      </c>
      <c r="G21" s="176" t="s">
        <v>572</v>
      </c>
      <c r="H21" s="194" t="s">
        <v>569</v>
      </c>
      <c r="K21" s="182" t="s">
        <v>519</v>
      </c>
      <c r="M21" s="178" t="s">
        <v>573</v>
      </c>
    </row>
    <row r="22" spans="2:14" x14ac:dyDescent="0.3">
      <c r="M22" s="270"/>
      <c r="N22" s="270"/>
    </row>
    <row r="23" spans="2:14" hidden="1" x14ac:dyDescent="0.3">
      <c r="B23" s="1" t="s">
        <v>517</v>
      </c>
    </row>
    <row r="24" spans="2:14" hidden="1" x14ac:dyDescent="0.3">
      <c r="C24" s="2" t="s">
        <v>122</v>
      </c>
    </row>
    <row r="25" spans="2:14" hidden="1" x14ac:dyDescent="0.3">
      <c r="B25" t="s">
        <v>245</v>
      </c>
      <c r="C25" s="105">
        <f>G39</f>
        <v>3300000</v>
      </c>
    </row>
    <row r="26" spans="2:14" hidden="1" x14ac:dyDescent="0.3">
      <c r="B26" t="s">
        <v>243</v>
      </c>
      <c r="C26" s="105">
        <f>K39</f>
        <v>835000</v>
      </c>
    </row>
    <row r="27" spans="2:14" hidden="1" x14ac:dyDescent="0.3">
      <c r="C27" s="106">
        <f>SUM(C25:C26)</f>
        <v>4135000</v>
      </c>
      <c r="D27" s="12" t="s">
        <v>518</v>
      </c>
    </row>
    <row r="28" spans="2:14" hidden="1" x14ac:dyDescent="0.3"/>
    <row r="29" spans="2:14" ht="14.4" hidden="1" customHeight="1" x14ac:dyDescent="0.3">
      <c r="B29" s="268" t="s">
        <v>493</v>
      </c>
      <c r="C29" s="268" t="s">
        <v>492</v>
      </c>
      <c r="D29" s="268" t="s">
        <v>494</v>
      </c>
      <c r="E29" s="268" t="s">
        <v>483</v>
      </c>
      <c r="F29" s="262" t="s">
        <v>495</v>
      </c>
      <c r="G29" s="262" t="s">
        <v>562</v>
      </c>
      <c r="H29" s="262" t="s">
        <v>568</v>
      </c>
      <c r="I29" s="262" t="s">
        <v>570</v>
      </c>
      <c r="J29" s="262" t="s">
        <v>496</v>
      </c>
      <c r="K29" s="268" t="s">
        <v>574</v>
      </c>
      <c r="L29" s="268"/>
      <c r="M29" s="262" t="s">
        <v>567</v>
      </c>
    </row>
    <row r="30" spans="2:14" hidden="1" x14ac:dyDescent="0.3">
      <c r="B30" s="268"/>
      <c r="C30" s="268"/>
      <c r="D30" s="268"/>
      <c r="E30" s="268"/>
      <c r="F30" s="262"/>
      <c r="G30" s="262"/>
      <c r="H30" s="262"/>
      <c r="I30" s="262"/>
      <c r="J30" s="262"/>
      <c r="K30" s="268"/>
      <c r="L30" s="268"/>
      <c r="M30" s="262"/>
    </row>
    <row r="31" spans="2:14" hidden="1" x14ac:dyDescent="0.3">
      <c r="B31" s="269" t="s">
        <v>512</v>
      </c>
      <c r="C31" s="171" t="s">
        <v>515</v>
      </c>
      <c r="D31" s="36">
        <v>125000</v>
      </c>
      <c r="E31" s="36" t="s">
        <v>484</v>
      </c>
      <c r="F31" s="15">
        <v>0.1</v>
      </c>
      <c r="G31" s="36">
        <f>D31+SUM(D31)*F31</f>
        <v>137500</v>
      </c>
      <c r="H31" s="36">
        <f>SUM(G31+K31)/'Factors and data'!$B$156*'Factors and data'!$B$147</f>
        <v>118307.43557894703</v>
      </c>
      <c r="I31" s="260">
        <f>SUM(H31:H33)</f>
        <v>1428293.4040803788</v>
      </c>
      <c r="J31" s="263">
        <v>13215890</v>
      </c>
      <c r="K31" s="36">
        <v>0</v>
      </c>
      <c r="L31" s="171"/>
      <c r="M31" s="36">
        <f t="shared" ref="M31:M38" si="3">G31+K31</f>
        <v>137500</v>
      </c>
    </row>
    <row r="32" spans="2:14" hidden="1" x14ac:dyDescent="0.3">
      <c r="B32" s="261"/>
      <c r="C32" s="171" t="s">
        <v>513</v>
      </c>
      <c r="D32" s="36">
        <v>875000</v>
      </c>
      <c r="E32" s="36" t="s">
        <v>484</v>
      </c>
      <c r="F32" s="15">
        <v>0.1</v>
      </c>
      <c r="G32" s="36">
        <f t="shared" ref="G32:G38" si="4">D32+SUM(D32)*F32</f>
        <v>962500</v>
      </c>
      <c r="H32" s="36">
        <f>SUM(G32+K32)/'Factors and data'!$B$156*'Factors and data'!$B$147</f>
        <v>836756.22618564358</v>
      </c>
      <c r="I32" s="261"/>
      <c r="J32" s="264"/>
      <c r="K32" s="36">
        <v>10000</v>
      </c>
      <c r="L32" s="171" t="s">
        <v>571</v>
      </c>
      <c r="M32" s="36">
        <f t="shared" si="3"/>
        <v>972500</v>
      </c>
    </row>
    <row r="33" spans="2:14" hidden="1" x14ac:dyDescent="0.3">
      <c r="B33" s="261"/>
      <c r="C33" s="171" t="s">
        <v>514</v>
      </c>
      <c r="D33" s="36">
        <v>500000</v>
      </c>
      <c r="E33" s="36" t="s">
        <v>484</v>
      </c>
      <c r="F33" s="15">
        <v>0.1</v>
      </c>
      <c r="G33" s="36">
        <f t="shared" si="4"/>
        <v>550000</v>
      </c>
      <c r="H33" s="36">
        <f>SUM(G33+K33)/'Factors and data'!$B$156*'Factors and data'!$B$147</f>
        <v>473229.74231578811</v>
      </c>
      <c r="I33" s="261"/>
      <c r="J33" s="264"/>
      <c r="K33" s="36">
        <v>0</v>
      </c>
      <c r="L33" s="171"/>
      <c r="M33" s="36">
        <f t="shared" si="3"/>
        <v>550000</v>
      </c>
    </row>
    <row r="34" spans="2:14" hidden="1" x14ac:dyDescent="0.3">
      <c r="B34" s="267" t="s">
        <v>508</v>
      </c>
      <c r="C34" s="171" t="s">
        <v>509</v>
      </c>
      <c r="D34" s="36">
        <v>75000</v>
      </c>
      <c r="E34" s="36" t="s">
        <v>484</v>
      </c>
      <c r="F34" s="15">
        <v>0.1</v>
      </c>
      <c r="G34" s="36">
        <f t="shared" si="4"/>
        <v>82500</v>
      </c>
      <c r="H34" s="36">
        <f>SUM(G34+K34)/'Factors and data'!$B$156*'Factors and data'!$B$147</f>
        <v>415151.54666794144</v>
      </c>
      <c r="I34" s="260">
        <f>H34+H35</f>
        <v>619500.75357703178</v>
      </c>
      <c r="J34" s="265"/>
      <c r="K34" s="36">
        <v>400000</v>
      </c>
      <c r="L34" s="171" t="s">
        <v>511</v>
      </c>
      <c r="M34" s="36">
        <f t="shared" si="3"/>
        <v>482500</v>
      </c>
    </row>
    <row r="35" spans="2:14" ht="28.8" hidden="1" x14ac:dyDescent="0.3">
      <c r="B35" s="267"/>
      <c r="C35" s="63" t="s">
        <v>510</v>
      </c>
      <c r="D35" s="36">
        <v>125000</v>
      </c>
      <c r="E35" s="36" t="s">
        <v>484</v>
      </c>
      <c r="F35" s="15">
        <v>0.1</v>
      </c>
      <c r="G35" s="36">
        <f t="shared" si="4"/>
        <v>137500</v>
      </c>
      <c r="H35" s="36">
        <f>SUM(G35+K35)/'Factors and data'!$B$156*'Factors and data'!$B$147</f>
        <v>204349.20690909031</v>
      </c>
      <c r="I35" s="261"/>
      <c r="J35" s="265"/>
      <c r="K35" s="36">
        <v>100000</v>
      </c>
      <c r="L35" s="192" t="s">
        <v>565</v>
      </c>
      <c r="M35" s="36">
        <f t="shared" si="3"/>
        <v>237500</v>
      </c>
    </row>
    <row r="36" spans="2:14" hidden="1" x14ac:dyDescent="0.3">
      <c r="B36" s="267" t="s">
        <v>504</v>
      </c>
      <c r="C36" t="s">
        <v>505</v>
      </c>
      <c r="D36" s="36">
        <v>250000</v>
      </c>
      <c r="E36" s="36" t="s">
        <v>484</v>
      </c>
      <c r="F36" s="15">
        <v>0.1</v>
      </c>
      <c r="G36" s="36">
        <f t="shared" si="4"/>
        <v>275000</v>
      </c>
      <c r="H36" s="36">
        <f>SUM(G36+K36)/'Factors and data'!$B$156*'Factors and data'!$B$147</f>
        <v>236614.87115789406</v>
      </c>
      <c r="I36" s="260">
        <f>H36+H37</f>
        <v>795886.38480382541</v>
      </c>
      <c r="J36" s="265"/>
      <c r="K36" s="36">
        <v>0</v>
      </c>
      <c r="L36" s="63"/>
      <c r="M36" s="36">
        <f t="shared" si="3"/>
        <v>275000</v>
      </c>
    </row>
    <row r="37" spans="2:14" hidden="1" x14ac:dyDescent="0.3">
      <c r="B37" s="267"/>
      <c r="C37" t="s">
        <v>506</v>
      </c>
      <c r="D37" s="36">
        <v>500000</v>
      </c>
      <c r="E37" s="36" t="s">
        <v>484</v>
      </c>
      <c r="F37" s="15">
        <v>0.1</v>
      </c>
      <c r="G37" s="36">
        <f t="shared" si="4"/>
        <v>550000</v>
      </c>
      <c r="H37" s="36">
        <f>SUM(G37+K37)/'Factors and data'!$B$156*'Factors and data'!$B$147</f>
        <v>559271.51364593138</v>
      </c>
      <c r="I37" s="261"/>
      <c r="J37" s="265"/>
      <c r="K37" s="36">
        <v>100000</v>
      </c>
      <c r="L37" s="63" t="s">
        <v>507</v>
      </c>
      <c r="M37" s="36">
        <f t="shared" si="3"/>
        <v>650000</v>
      </c>
    </row>
    <row r="38" spans="2:14" hidden="1" x14ac:dyDescent="0.3">
      <c r="B38" s="170" t="s">
        <v>502</v>
      </c>
      <c r="C38" s="30" t="s">
        <v>500</v>
      </c>
      <c r="D38" s="36">
        <v>550000</v>
      </c>
      <c r="E38" s="36" t="s">
        <v>484</v>
      </c>
      <c r="F38" s="15">
        <v>0.1</v>
      </c>
      <c r="G38" s="36">
        <f t="shared" si="4"/>
        <v>605000</v>
      </c>
      <c r="H38" s="36">
        <f>SUM(G38+K38)/'Factors and data'!$B$156*'Factors and data'!$B$147</f>
        <v>714146.7020401893</v>
      </c>
      <c r="I38" s="36">
        <f>H38</f>
        <v>714146.7020401893</v>
      </c>
      <c r="J38" s="266"/>
      <c r="K38" s="36">
        <v>225000</v>
      </c>
      <c r="L38" s="63" t="s">
        <v>503</v>
      </c>
      <c r="M38" s="36">
        <f t="shared" si="3"/>
        <v>830000</v>
      </c>
    </row>
    <row r="39" spans="2:14" hidden="1" x14ac:dyDescent="0.3">
      <c r="D39" s="36">
        <f>SUM(D31:D38)</f>
        <v>3000000</v>
      </c>
      <c r="G39" s="172">
        <f t="shared" ref="G39" si="5">SUM(G31:G38)</f>
        <v>3300000</v>
      </c>
      <c r="H39" s="193">
        <f>SUM(H31:H38)</f>
        <v>3557827.2445014254</v>
      </c>
      <c r="I39" s="36">
        <f>SUM(I31:I38)</f>
        <v>3557827.2445014254</v>
      </c>
      <c r="J39" s="36">
        <f>SUM(J31:J38)</f>
        <v>13215890</v>
      </c>
      <c r="K39" s="180">
        <f>SUM(K31:K38)</f>
        <v>835000</v>
      </c>
      <c r="L39" s="63"/>
      <c r="M39" s="175">
        <f>SUM(M31:M38)</f>
        <v>4135000</v>
      </c>
    </row>
    <row r="40" spans="2:14" ht="57.6" hidden="1" x14ac:dyDescent="0.3">
      <c r="G40" s="176" t="s">
        <v>520</v>
      </c>
      <c r="H40" s="194" t="s">
        <v>569</v>
      </c>
      <c r="I40" s="181"/>
      <c r="J40" s="181"/>
      <c r="K40" s="182" t="s">
        <v>519</v>
      </c>
      <c r="L40" s="181"/>
      <c r="M40" s="178" t="s">
        <v>573</v>
      </c>
    </row>
    <row r="41" spans="2:14" hidden="1" x14ac:dyDescent="0.3">
      <c r="M41" s="270"/>
      <c r="N41" s="270"/>
    </row>
    <row r="42" spans="2:14" hidden="1" x14ac:dyDescent="0.3"/>
    <row r="43" spans="2:14" hidden="1" x14ac:dyDescent="0.3">
      <c r="B43" s="1" t="s">
        <v>521</v>
      </c>
      <c r="H43" s="35">
        <f>SUM(K39)/'Factors and data'!$B$156*'Factors and data'!$B$147</f>
        <v>718448.79060669651</v>
      </c>
    </row>
    <row r="44" spans="2:14" hidden="1" x14ac:dyDescent="0.3">
      <c r="C44" s="2" t="s">
        <v>122</v>
      </c>
    </row>
    <row r="45" spans="2:14" hidden="1" x14ac:dyDescent="0.3">
      <c r="B45" t="s">
        <v>245</v>
      </c>
      <c r="C45" s="105">
        <f>C5+C25</f>
        <v>8345000</v>
      </c>
    </row>
    <row r="46" spans="2:14" hidden="1" x14ac:dyDescent="0.3">
      <c r="B46" t="s">
        <v>243</v>
      </c>
      <c r="C46" s="105">
        <f>C6+C26</f>
        <v>1485000</v>
      </c>
    </row>
    <row r="47" spans="2:14" hidden="1" x14ac:dyDescent="0.3">
      <c r="C47" s="106">
        <f>SUM(C45:C46)</f>
        <v>9830000</v>
      </c>
      <c r="D47" s="12" t="s">
        <v>518</v>
      </c>
    </row>
    <row r="50" spans="7:11" x14ac:dyDescent="0.3">
      <c r="G50" s="304">
        <f>G20/'Factors and data'!$B$156*'Factors and data'!$B$147</f>
        <v>4340807.3636057293</v>
      </c>
      <c r="K50" s="304">
        <f>K20/'Factors and data'!$B$156*'Factors and data'!$B$147</f>
        <v>559271.51364593138</v>
      </c>
    </row>
  </sheetData>
  <mergeCells count="43">
    <mergeCell ref="M22:N22"/>
    <mergeCell ref="M41:N41"/>
    <mergeCell ref="K29:L30"/>
    <mergeCell ref="I36:I37"/>
    <mergeCell ref="K9:L10"/>
    <mergeCell ref="M9:M10"/>
    <mergeCell ref="M29:M30"/>
    <mergeCell ref="I31:I33"/>
    <mergeCell ref="I13:I14"/>
    <mergeCell ref="J13:J14"/>
    <mergeCell ref="I18:I19"/>
    <mergeCell ref="J18:J19"/>
    <mergeCell ref="H9:H10"/>
    <mergeCell ref="I9:I10"/>
    <mergeCell ref="J9:J10"/>
    <mergeCell ref="B15:B17"/>
    <mergeCell ref="I15:I17"/>
    <mergeCell ref="B9:B10"/>
    <mergeCell ref="C9:C10"/>
    <mergeCell ref="D9:D10"/>
    <mergeCell ref="E9:E10"/>
    <mergeCell ref="F9:F10"/>
    <mergeCell ref="G9:G10"/>
    <mergeCell ref="J15:J17"/>
    <mergeCell ref="B11:B12"/>
    <mergeCell ref="I11:I12"/>
    <mergeCell ref="J11:J12"/>
    <mergeCell ref="B13:B14"/>
    <mergeCell ref="B18:B19"/>
    <mergeCell ref="I34:I35"/>
    <mergeCell ref="H29:H30"/>
    <mergeCell ref="J31:J38"/>
    <mergeCell ref="F29:F30"/>
    <mergeCell ref="G29:G30"/>
    <mergeCell ref="I29:I30"/>
    <mergeCell ref="J29:J30"/>
    <mergeCell ref="B36:B37"/>
    <mergeCell ref="B29:B30"/>
    <mergeCell ref="C29:C30"/>
    <mergeCell ref="D29:D30"/>
    <mergeCell ref="E29:E30"/>
    <mergeCell ref="B31:B33"/>
    <mergeCell ref="B34:B3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R99"/>
  <sheetViews>
    <sheetView zoomScale="115" zoomScaleNormal="115" workbookViewId="0">
      <selection activeCell="C5" sqref="C5"/>
    </sheetView>
  </sheetViews>
  <sheetFormatPr defaultRowHeight="14.4" x14ac:dyDescent="0.3"/>
  <cols>
    <col min="1" max="1" width="48.88671875" customWidth="1"/>
    <col min="2" max="2" width="28.6640625" customWidth="1"/>
    <col min="3" max="3" width="16.44140625" customWidth="1"/>
    <col min="4" max="4" width="11" customWidth="1"/>
    <col min="5" max="5" width="20.44140625" customWidth="1"/>
    <col min="6" max="6" width="15.33203125" customWidth="1"/>
    <col min="7" max="7" width="18.44140625" customWidth="1"/>
    <col min="8" max="8" width="16.44140625" customWidth="1"/>
    <col min="9" max="9" width="12.6640625" customWidth="1"/>
    <col min="10" max="10" width="4" customWidth="1"/>
    <col min="11" max="11" width="18.5546875" bestFit="1" customWidth="1"/>
    <col min="12" max="12" width="27.33203125" bestFit="1" customWidth="1"/>
  </cols>
  <sheetData>
    <row r="1" spans="1:7" x14ac:dyDescent="0.3">
      <c r="A1" s="1" t="s">
        <v>480</v>
      </c>
    </row>
    <row r="3" spans="1:7" x14ac:dyDescent="0.3">
      <c r="A3" s="3">
        <f>'Factors and data'!A24</f>
        <v>240000</v>
      </c>
      <c r="B3" t="s">
        <v>294</v>
      </c>
    </row>
    <row r="4" spans="1:7" x14ac:dyDescent="0.3">
      <c r="A4" s="5">
        <f>A3*C4</f>
        <v>120000</v>
      </c>
      <c r="B4" s="68" t="s">
        <v>180</v>
      </c>
      <c r="C4" s="69">
        <v>0.5</v>
      </c>
      <c r="D4" t="s">
        <v>297</v>
      </c>
    </row>
    <row r="5" spans="1:7" x14ac:dyDescent="0.3">
      <c r="A5" s="107"/>
      <c r="C5" s="63" t="s">
        <v>298</v>
      </c>
    </row>
    <row r="7" spans="1:7" x14ac:dyDescent="0.3">
      <c r="A7" s="94">
        <f>'Factors and data'!C67</f>
        <v>6.2764416000000001</v>
      </c>
      <c r="B7" s="30" t="s">
        <v>293</v>
      </c>
      <c r="C7" s="30"/>
      <c r="G7" t="s">
        <v>230</v>
      </c>
    </row>
    <row r="8" spans="1:7" x14ac:dyDescent="0.3">
      <c r="A8" s="94">
        <f>A7</f>
        <v>6.2764416000000001</v>
      </c>
      <c r="B8" s="30" t="s">
        <v>228</v>
      </c>
      <c r="C8" s="30"/>
      <c r="G8" t="s">
        <v>230</v>
      </c>
    </row>
    <row r="10" spans="1:7" x14ac:dyDescent="0.3">
      <c r="A10" s="65" t="s">
        <v>159</v>
      </c>
    </row>
    <row r="11" spans="1:7" x14ac:dyDescent="0.3">
      <c r="A11" s="15">
        <f>'Factors and data'!A44</f>
        <v>0.1</v>
      </c>
      <c r="B11" s="16" t="str">
        <f>'Factors and data'!B44</f>
        <v>Year 1 (2019)</v>
      </c>
      <c r="C11" s="16"/>
      <c r="D11" s="16" t="str">
        <f>'Factors and data'!D44</f>
        <v>Resulting from progressive switch to payment via smartphones and other devices</v>
      </c>
      <c r="E11" s="16"/>
    </row>
    <row r="12" spans="1:7" x14ac:dyDescent="0.3">
      <c r="A12" s="15">
        <f>'Factors and data'!A45</f>
        <v>0.2</v>
      </c>
      <c r="B12" s="16" t="str">
        <f>'Factors and data'!B45</f>
        <v>Year 2 (2020)</v>
      </c>
      <c r="C12" s="16"/>
      <c r="D12" s="16"/>
      <c r="E12" s="16"/>
    </row>
    <row r="13" spans="1:7" x14ac:dyDescent="0.3">
      <c r="A13" s="15">
        <f>'Factors and data'!A46</f>
        <v>0.3</v>
      </c>
      <c r="B13" s="16" t="str">
        <f>'Factors and data'!B46</f>
        <v>Year 3 (2021) onwards</v>
      </c>
      <c r="C13" s="16"/>
      <c r="D13" s="16" t="str">
        <f>'Factors and data'!D46</f>
        <v>Assumes cashless bus/tram network enables cash fare purchase off-bus, maximising dwell-time savings to operators and passengers</v>
      </c>
      <c r="E13" s="16"/>
    </row>
    <row r="14" spans="1:7" x14ac:dyDescent="0.3">
      <c r="A14" s="16"/>
      <c r="B14" s="16"/>
      <c r="C14" s="16"/>
      <c r="D14" s="16"/>
      <c r="E14" s="16"/>
    </row>
    <row r="15" spans="1:7" x14ac:dyDescent="0.3">
      <c r="A15" s="16" t="s">
        <v>162</v>
      </c>
      <c r="B15" s="16"/>
      <c r="C15" s="16"/>
      <c r="D15" s="16"/>
      <c r="E15" s="16"/>
    </row>
    <row r="16" spans="1:7" x14ac:dyDescent="0.3">
      <c r="A16" s="15">
        <v>0.5</v>
      </c>
      <c r="B16" s="16" t="s">
        <v>295</v>
      </c>
      <c r="C16" s="16"/>
      <c r="D16" s="16"/>
      <c r="E16" s="16"/>
    </row>
    <row r="17" spans="1:9" x14ac:dyDescent="0.3">
      <c r="A17" s="15">
        <v>0.5</v>
      </c>
      <c r="B17" s="16" t="s">
        <v>163</v>
      </c>
      <c r="C17" s="16"/>
      <c r="D17" s="16"/>
      <c r="E17" s="16"/>
    </row>
    <row r="18" spans="1:9" x14ac:dyDescent="0.3">
      <c r="A18" s="15"/>
      <c r="B18" s="16"/>
      <c r="C18" s="16"/>
      <c r="D18" s="16"/>
      <c r="E18" s="16"/>
    </row>
    <row r="19" spans="1:9" x14ac:dyDescent="0.3">
      <c r="A19" s="95" t="s">
        <v>227</v>
      </c>
      <c r="B19" s="96"/>
      <c r="C19" s="96"/>
      <c r="D19" s="16"/>
      <c r="E19" s="16"/>
    </row>
    <row r="20" spans="1:9" x14ac:dyDescent="0.3">
      <c r="A20" s="97">
        <v>1.57</v>
      </c>
      <c r="B20" s="96" t="s">
        <v>229</v>
      </c>
      <c r="C20" s="96"/>
      <c r="D20" s="16" t="s">
        <v>281</v>
      </c>
      <c r="E20" s="16"/>
      <c r="F20" t="s">
        <v>231</v>
      </c>
      <c r="G20" s="16" t="s">
        <v>232</v>
      </c>
    </row>
    <row r="21" spans="1:9" x14ac:dyDescent="0.3">
      <c r="A21" s="16"/>
      <c r="B21" s="16"/>
      <c r="C21" s="16"/>
      <c r="D21" s="16"/>
      <c r="E21" s="16"/>
    </row>
    <row r="22" spans="1:9" x14ac:dyDescent="0.3">
      <c r="A22" s="16" t="s">
        <v>299</v>
      </c>
      <c r="B22" s="16"/>
      <c r="C22" s="16"/>
      <c r="D22" s="16"/>
      <c r="E22" s="16"/>
    </row>
    <row r="23" spans="1:9" x14ac:dyDescent="0.3">
      <c r="A23" s="16" t="s">
        <v>160</v>
      </c>
      <c r="B23" s="66" t="s">
        <v>296</v>
      </c>
      <c r="C23" s="66" t="s">
        <v>161</v>
      </c>
      <c r="D23" s="16"/>
      <c r="E23" s="16" t="s">
        <v>300</v>
      </c>
      <c r="F23" s="16" t="s">
        <v>167</v>
      </c>
      <c r="G23" s="16"/>
    </row>
    <row r="24" spans="1:9" x14ac:dyDescent="0.3">
      <c r="A24" s="8">
        <f>'Factors and data'!A124</f>
        <v>2019</v>
      </c>
      <c r="B24" s="3">
        <f>$A$4*A11</f>
        <v>12000</v>
      </c>
      <c r="C24" s="3">
        <f>B24*$A$7</f>
        <v>75317.299199999994</v>
      </c>
      <c r="D24" s="8"/>
      <c r="E24" s="3">
        <f>0-SUM(B24*$A$17)/$A$20</f>
        <v>-3821.6560509554138</v>
      </c>
      <c r="F24" s="3">
        <f>0-E24*$A$8</f>
        <v>23986.401019108278</v>
      </c>
      <c r="G24" s="8"/>
      <c r="H24" s="8"/>
      <c r="I24" s="8"/>
    </row>
    <row r="25" spans="1:9" x14ac:dyDescent="0.3">
      <c r="A25" s="8">
        <f>'Factors and data'!A125</f>
        <v>2020</v>
      </c>
      <c r="B25" s="3">
        <f>$A$4*A12</f>
        <v>24000</v>
      </c>
      <c r="C25" s="3">
        <f t="shared" ref="C25:C43" si="0">B25*$A$7</f>
        <v>150634.59839999999</v>
      </c>
      <c r="D25" s="8"/>
      <c r="E25" s="3">
        <f>0-SUM(B25*$A$17)/$A$20</f>
        <v>-7643.3121019108276</v>
      </c>
      <c r="F25" s="3">
        <f t="shared" ref="F25:F43" si="1">0-E25*$A$8</f>
        <v>47972.802038216556</v>
      </c>
      <c r="G25" s="8"/>
      <c r="H25" s="8"/>
      <c r="I25" s="8"/>
    </row>
    <row r="26" spans="1:9" x14ac:dyDescent="0.3">
      <c r="A26" s="8">
        <f>'Factors and data'!A126</f>
        <v>2021</v>
      </c>
      <c r="B26" s="3">
        <f t="shared" ref="B26:B43" si="2">$A$4*$A$13</f>
        <v>36000</v>
      </c>
      <c r="C26" s="3">
        <f t="shared" si="0"/>
        <v>225951.8976</v>
      </c>
      <c r="D26" s="8"/>
      <c r="E26" s="3">
        <f>0-SUM(B26*$A$17)/$A$20</f>
        <v>-11464.968152866242</v>
      </c>
      <c r="F26" s="3">
        <f t="shared" si="1"/>
        <v>71959.203057324848</v>
      </c>
      <c r="G26" s="8"/>
      <c r="H26" s="8"/>
      <c r="I26" s="8"/>
    </row>
    <row r="27" spans="1:9" x14ac:dyDescent="0.3">
      <c r="A27" s="8">
        <f>'Factors and data'!A127</f>
        <v>2022</v>
      </c>
      <c r="B27" s="3">
        <f t="shared" si="2"/>
        <v>36000</v>
      </c>
      <c r="C27" s="3">
        <f t="shared" si="0"/>
        <v>225951.8976</v>
      </c>
      <c r="D27" s="8"/>
      <c r="E27" s="3">
        <f t="shared" ref="E27:E42" si="3">0-SUM(B27*$A$17)/$A$20</f>
        <v>-11464.968152866242</v>
      </c>
      <c r="F27" s="3">
        <f t="shared" si="1"/>
        <v>71959.203057324848</v>
      </c>
      <c r="G27" s="8"/>
      <c r="H27" s="8"/>
      <c r="I27" s="8"/>
    </row>
    <row r="28" spans="1:9" x14ac:dyDescent="0.3">
      <c r="A28" s="8">
        <f>'Factors and data'!A128</f>
        <v>2023</v>
      </c>
      <c r="B28" s="3">
        <f t="shared" si="2"/>
        <v>36000</v>
      </c>
      <c r="C28" s="3">
        <f t="shared" si="0"/>
        <v>225951.8976</v>
      </c>
      <c r="D28" s="8"/>
      <c r="E28" s="3">
        <f t="shared" si="3"/>
        <v>-11464.968152866242</v>
      </c>
      <c r="F28" s="3">
        <f t="shared" si="1"/>
        <v>71959.203057324848</v>
      </c>
      <c r="G28" s="8"/>
      <c r="H28" s="8">
        <f>0-E28/220</f>
        <v>52.113491603937462</v>
      </c>
      <c r="I28" s="8" t="s">
        <v>680</v>
      </c>
    </row>
    <row r="29" spans="1:9" x14ac:dyDescent="0.3">
      <c r="A29" s="8">
        <f>'Factors and data'!A129</f>
        <v>2024</v>
      </c>
      <c r="B29" s="3">
        <f t="shared" si="2"/>
        <v>36000</v>
      </c>
      <c r="C29" s="3">
        <f t="shared" si="0"/>
        <v>225951.8976</v>
      </c>
      <c r="D29" s="8"/>
      <c r="E29" s="3">
        <f t="shared" si="3"/>
        <v>-11464.968152866242</v>
      </c>
      <c r="F29" s="3">
        <f t="shared" si="1"/>
        <v>71959.203057324848</v>
      </c>
      <c r="G29" s="8"/>
      <c r="H29" s="8"/>
      <c r="I29" s="8"/>
    </row>
    <row r="30" spans="1:9" x14ac:dyDescent="0.3">
      <c r="A30" s="8">
        <f>'Factors and data'!A130</f>
        <v>2025</v>
      </c>
      <c r="B30" s="3">
        <f t="shared" si="2"/>
        <v>36000</v>
      </c>
      <c r="C30" s="3">
        <f t="shared" si="0"/>
        <v>225951.8976</v>
      </c>
      <c r="D30" s="8"/>
      <c r="E30" s="3">
        <f t="shared" si="3"/>
        <v>-11464.968152866242</v>
      </c>
      <c r="F30" s="3">
        <f t="shared" si="1"/>
        <v>71959.203057324848</v>
      </c>
      <c r="G30" s="8"/>
      <c r="H30" s="8"/>
      <c r="I30" s="8"/>
    </row>
    <row r="31" spans="1:9" x14ac:dyDescent="0.3">
      <c r="A31" s="8">
        <f>'Factors and data'!A131</f>
        <v>2026</v>
      </c>
      <c r="B31" s="3">
        <f t="shared" si="2"/>
        <v>36000</v>
      </c>
      <c r="C31" s="3">
        <f t="shared" si="0"/>
        <v>225951.8976</v>
      </c>
      <c r="D31" s="8"/>
      <c r="E31" s="3">
        <f t="shared" si="3"/>
        <v>-11464.968152866242</v>
      </c>
      <c r="F31" s="3">
        <f t="shared" si="1"/>
        <v>71959.203057324848</v>
      </c>
      <c r="G31" s="8"/>
      <c r="H31" s="8"/>
      <c r="I31" s="8"/>
    </row>
    <row r="32" spans="1:9" x14ac:dyDescent="0.3">
      <c r="A32" s="8">
        <f>'Factors and data'!A132</f>
        <v>2027</v>
      </c>
      <c r="B32" s="3">
        <f t="shared" si="2"/>
        <v>36000</v>
      </c>
      <c r="C32" s="3">
        <f t="shared" si="0"/>
        <v>225951.8976</v>
      </c>
      <c r="D32" s="8"/>
      <c r="E32" s="3">
        <f t="shared" si="3"/>
        <v>-11464.968152866242</v>
      </c>
      <c r="F32" s="3">
        <f t="shared" si="1"/>
        <v>71959.203057324848</v>
      </c>
      <c r="G32" s="8"/>
      <c r="H32" s="8"/>
      <c r="I32" s="8"/>
    </row>
    <row r="33" spans="1:9" x14ac:dyDescent="0.3">
      <c r="A33" s="8">
        <f>'Factors and data'!A133</f>
        <v>2028</v>
      </c>
      <c r="B33" s="3">
        <f t="shared" si="2"/>
        <v>36000</v>
      </c>
      <c r="C33" s="3">
        <f t="shared" si="0"/>
        <v>225951.8976</v>
      </c>
      <c r="D33" s="8"/>
      <c r="E33" s="3">
        <f t="shared" si="3"/>
        <v>-11464.968152866242</v>
      </c>
      <c r="F33" s="3">
        <f t="shared" si="1"/>
        <v>71959.203057324848</v>
      </c>
      <c r="G33" s="8"/>
      <c r="H33" s="8"/>
      <c r="I33" s="8"/>
    </row>
    <row r="34" spans="1:9" x14ac:dyDescent="0.3">
      <c r="A34" s="8">
        <f>'Factors and data'!A134</f>
        <v>2029</v>
      </c>
      <c r="B34" s="3">
        <f t="shared" si="2"/>
        <v>36000</v>
      </c>
      <c r="C34" s="3">
        <f t="shared" si="0"/>
        <v>225951.8976</v>
      </c>
      <c r="D34" s="8"/>
      <c r="E34" s="3">
        <f t="shared" si="3"/>
        <v>-11464.968152866242</v>
      </c>
      <c r="F34" s="3">
        <f t="shared" si="1"/>
        <v>71959.203057324848</v>
      </c>
      <c r="G34" s="8"/>
      <c r="H34" s="8"/>
      <c r="I34" s="8"/>
    </row>
    <row r="35" spans="1:9" x14ac:dyDescent="0.3">
      <c r="A35" s="8">
        <f>'Factors and data'!A135</f>
        <v>2030</v>
      </c>
      <c r="B35" s="3">
        <f t="shared" si="2"/>
        <v>36000</v>
      </c>
      <c r="C35" s="3">
        <f t="shared" si="0"/>
        <v>225951.8976</v>
      </c>
      <c r="D35" s="8"/>
      <c r="E35" s="3">
        <f t="shared" si="3"/>
        <v>-11464.968152866242</v>
      </c>
      <c r="F35" s="3">
        <f t="shared" si="1"/>
        <v>71959.203057324848</v>
      </c>
      <c r="G35" s="8"/>
      <c r="H35" s="8"/>
      <c r="I35" s="8"/>
    </row>
    <row r="36" spans="1:9" x14ac:dyDescent="0.3">
      <c r="A36" s="8">
        <f>'Factors and data'!A136</f>
        <v>2031</v>
      </c>
      <c r="B36" s="3">
        <f t="shared" si="2"/>
        <v>36000</v>
      </c>
      <c r="C36" s="3">
        <f t="shared" si="0"/>
        <v>225951.8976</v>
      </c>
      <c r="D36" s="8"/>
      <c r="E36" s="3">
        <f t="shared" si="3"/>
        <v>-11464.968152866242</v>
      </c>
      <c r="F36" s="3">
        <f t="shared" si="1"/>
        <v>71959.203057324848</v>
      </c>
      <c r="G36" s="8"/>
      <c r="H36" s="8"/>
      <c r="I36" s="8"/>
    </row>
    <row r="37" spans="1:9" x14ac:dyDescent="0.3">
      <c r="A37" s="8">
        <f>'Factors and data'!A137</f>
        <v>2032</v>
      </c>
      <c r="B37" s="3">
        <f t="shared" si="2"/>
        <v>36000</v>
      </c>
      <c r="C37" s="3">
        <f t="shared" si="0"/>
        <v>225951.8976</v>
      </c>
      <c r="D37" s="8"/>
      <c r="E37" s="3">
        <f t="shared" si="3"/>
        <v>-11464.968152866242</v>
      </c>
      <c r="F37" s="3">
        <f t="shared" si="1"/>
        <v>71959.203057324848</v>
      </c>
      <c r="G37" s="8"/>
      <c r="H37" s="8"/>
      <c r="I37" s="8"/>
    </row>
    <row r="38" spans="1:9" x14ac:dyDescent="0.3">
      <c r="A38" s="8">
        <f>'Factors and data'!A138</f>
        <v>2033</v>
      </c>
      <c r="B38" s="3">
        <f t="shared" si="2"/>
        <v>36000</v>
      </c>
      <c r="C38" s="3">
        <f t="shared" si="0"/>
        <v>225951.8976</v>
      </c>
      <c r="D38" s="8"/>
      <c r="E38" s="3">
        <f t="shared" si="3"/>
        <v>-11464.968152866242</v>
      </c>
      <c r="F38" s="3">
        <f t="shared" si="1"/>
        <v>71959.203057324848</v>
      </c>
      <c r="G38" s="8"/>
      <c r="H38" s="8"/>
      <c r="I38" s="8"/>
    </row>
    <row r="39" spans="1:9" x14ac:dyDescent="0.3">
      <c r="A39" s="8">
        <f>'Factors and data'!A139</f>
        <v>2034</v>
      </c>
      <c r="B39" s="3">
        <f t="shared" si="2"/>
        <v>36000</v>
      </c>
      <c r="C39" s="3">
        <f t="shared" si="0"/>
        <v>225951.8976</v>
      </c>
      <c r="D39" s="8"/>
      <c r="E39" s="3">
        <f t="shared" si="3"/>
        <v>-11464.968152866242</v>
      </c>
      <c r="F39" s="3">
        <f t="shared" si="1"/>
        <v>71959.203057324848</v>
      </c>
      <c r="G39" s="8"/>
      <c r="H39" s="8"/>
      <c r="I39" s="8"/>
    </row>
    <row r="40" spans="1:9" x14ac:dyDescent="0.3">
      <c r="A40" s="8">
        <f>'Factors and data'!A140</f>
        <v>2035</v>
      </c>
      <c r="B40" s="3">
        <f t="shared" si="2"/>
        <v>36000</v>
      </c>
      <c r="C40" s="3">
        <f t="shared" si="0"/>
        <v>225951.8976</v>
      </c>
      <c r="D40" s="8"/>
      <c r="E40" s="3">
        <f t="shared" si="3"/>
        <v>-11464.968152866242</v>
      </c>
      <c r="F40" s="3">
        <f t="shared" si="1"/>
        <v>71959.203057324848</v>
      </c>
      <c r="G40" s="8"/>
      <c r="H40" s="8"/>
      <c r="I40" s="8"/>
    </row>
    <row r="41" spans="1:9" x14ac:dyDescent="0.3">
      <c r="A41" s="8">
        <f>'Factors and data'!A141</f>
        <v>2036</v>
      </c>
      <c r="B41" s="3">
        <f t="shared" si="2"/>
        <v>36000</v>
      </c>
      <c r="C41" s="3">
        <f t="shared" si="0"/>
        <v>225951.8976</v>
      </c>
      <c r="D41" s="8"/>
      <c r="E41" s="3">
        <f t="shared" si="3"/>
        <v>-11464.968152866242</v>
      </c>
      <c r="F41" s="3">
        <f t="shared" si="1"/>
        <v>71959.203057324848</v>
      </c>
      <c r="G41" s="8"/>
      <c r="H41" s="8"/>
      <c r="I41" s="8"/>
    </row>
    <row r="42" spans="1:9" x14ac:dyDescent="0.3">
      <c r="A42" s="8">
        <f>'Factors and data'!A142</f>
        <v>2037</v>
      </c>
      <c r="B42" s="3">
        <f t="shared" si="2"/>
        <v>36000</v>
      </c>
      <c r="C42" s="3">
        <f t="shared" si="0"/>
        <v>225951.8976</v>
      </c>
      <c r="D42" s="8"/>
      <c r="E42" s="3">
        <f t="shared" si="3"/>
        <v>-11464.968152866242</v>
      </c>
      <c r="F42" s="3">
        <f t="shared" si="1"/>
        <v>71959.203057324848</v>
      </c>
      <c r="G42" s="8"/>
      <c r="H42" s="8"/>
      <c r="I42" s="8"/>
    </row>
    <row r="43" spans="1:9" x14ac:dyDescent="0.3">
      <c r="A43" s="8">
        <f>'Factors and data'!A143</f>
        <v>2038</v>
      </c>
      <c r="B43" s="3">
        <f t="shared" si="2"/>
        <v>36000</v>
      </c>
      <c r="C43" s="3">
        <f t="shared" si="0"/>
        <v>225951.8976</v>
      </c>
      <c r="D43" s="8"/>
      <c r="E43" s="3">
        <f>0-SUM(B43*$A$17)/$A$20</f>
        <v>-11464.968152866242</v>
      </c>
      <c r="F43" s="3">
        <f t="shared" si="1"/>
        <v>71959.203057324848</v>
      </c>
      <c r="G43" s="8"/>
      <c r="H43" s="8"/>
      <c r="I43" s="8"/>
    </row>
    <row r="44" spans="1:9" x14ac:dyDescent="0.3">
      <c r="B44" s="67">
        <f>SUM(B24:B43)</f>
        <v>684000</v>
      </c>
      <c r="C44" s="67">
        <f>SUM(C24:C43)</f>
        <v>4293086.0543999979</v>
      </c>
      <c r="D44" s="2"/>
      <c r="E44" s="67">
        <f>SUM(E24:E43)</f>
        <v>-217834.39490445855</v>
      </c>
      <c r="F44" s="67">
        <f>SUM(F24:F43)</f>
        <v>1367224.8580891718</v>
      </c>
    </row>
    <row r="45" spans="1:9" x14ac:dyDescent="0.3">
      <c r="B45" s="2" t="s">
        <v>164</v>
      </c>
      <c r="C45" s="2" t="s">
        <v>161</v>
      </c>
      <c r="D45" s="2"/>
      <c r="E45" s="2" t="s">
        <v>165</v>
      </c>
      <c r="F45" s="2" t="s">
        <v>166</v>
      </c>
    </row>
    <row r="47" spans="1:9" x14ac:dyDescent="0.3">
      <c r="A47" t="s">
        <v>176</v>
      </c>
    </row>
    <row r="49" spans="1:12" x14ac:dyDescent="0.3">
      <c r="A49" t="str">
        <f>'Factors and data'!A261</f>
        <v>Pence per Km (2010 prices)</v>
      </c>
    </row>
    <row r="50" spans="1:12" x14ac:dyDescent="0.3">
      <c r="A50" t="str">
        <f>'Factors and data'!A271</f>
        <v>Decongestion benefits (appraisal period)</v>
      </c>
      <c r="B50" t="str">
        <f>'Factors and data'!B271</f>
        <v>Congestion</v>
      </c>
      <c r="C50" t="str">
        <f>'Factors and data'!C271</f>
        <v>Infrastructure</v>
      </c>
      <c r="D50" t="str">
        <f>'Factors and data'!D271</f>
        <v>Accident</v>
      </c>
      <c r="E50" t="str">
        <f>'Factors and data'!E271</f>
        <v>Local Air Quality</v>
      </c>
      <c r="F50" t="str">
        <f>'Factors and data'!F271</f>
        <v>Noise</v>
      </c>
      <c r="G50" t="str">
        <f>'Factors and data'!G271</f>
        <v>Greenhouse Gases</v>
      </c>
      <c r="H50" t="str">
        <f>'Factors and data'!H271</f>
        <v>Indirect Taxation</v>
      </c>
      <c r="I50" t="s">
        <v>449</v>
      </c>
      <c r="K50" t="s">
        <v>450</v>
      </c>
      <c r="L50" t="s">
        <v>82</v>
      </c>
    </row>
    <row r="51" spans="1:12" x14ac:dyDescent="0.3">
      <c r="A51">
        <f>'Factors and data'!A272</f>
        <v>2019</v>
      </c>
      <c r="B51" s="62">
        <f>SUM('Factors and data'!B272/100)*$F24</f>
        <v>7923.7058142618935</v>
      </c>
      <c r="C51" s="62">
        <f>SUM('Factors and data'!C272/100)*$F24</f>
        <v>25.876653667687911</v>
      </c>
      <c r="D51" s="62">
        <f>SUM('Factors and data'!D272/100)*$F24</f>
        <v>776.29961003063727</v>
      </c>
      <c r="E51" s="62">
        <f>SUM('Factors and data'!E272/100)*$F24</f>
        <v>18.687723738994656</v>
      </c>
      <c r="F51" s="62">
        <f>SUM('Factors and data'!F272/100)*$F24</f>
        <v>51.753307335375823</v>
      </c>
      <c r="G51" s="62">
        <f>SUM('Factors and data'!G272/100)*$F24</f>
        <v>195.57714169104045</v>
      </c>
      <c r="H51" s="62">
        <f>SUM('Factors and data'!H272/100)*$F24</f>
        <v>-945.52859487638648</v>
      </c>
      <c r="I51" s="62">
        <f>SUM('Factors and data'!I272/100)*$F24</f>
        <v>8046.3716558492424</v>
      </c>
      <c r="K51" s="36">
        <f>SUM(I51/'Factors and data'!B156)*'Factors and data'!$B$147</f>
        <v>6923.2407004992692</v>
      </c>
      <c r="L51" s="36">
        <f>K51*'Factors and data'!C124</f>
        <v>6923.2407004992692</v>
      </c>
    </row>
    <row r="52" spans="1:12" x14ac:dyDescent="0.3">
      <c r="A52">
        <f>'Factors and data'!A273</f>
        <v>2020</v>
      </c>
      <c r="B52" s="62">
        <f>SUM('Factors and data'!B273/100)*$F25</f>
        <v>19222.011614523624</v>
      </c>
      <c r="C52" s="62">
        <f>SUM('Factors and data'!C273/100)*$F25</f>
        <v>56.395301750100415</v>
      </c>
      <c r="D52" s="62">
        <f>SUM('Factors and data'!D273/100)*$F25</f>
        <v>1691.8590525030124</v>
      </c>
      <c r="E52" s="62">
        <f>SUM('Factors and data'!E273/100)*$F25</f>
        <v>16.792095526520885</v>
      </c>
      <c r="F52" s="62">
        <f>SUM('Factors and data'!F273/100)*$F25</f>
        <v>112.79060350020083</v>
      </c>
      <c r="G52" s="62">
        <f>SUM('Factors and data'!G273/100)*$F25</f>
        <v>351.56392543645296</v>
      </c>
      <c r="H52" s="62">
        <f>SUM('Factors and data'!H273/100)*$F25</f>
        <v>-1665.3035419147022</v>
      </c>
      <c r="I52" s="62">
        <f>SUM('Factors and data'!I273/100)*$F25</f>
        <v>19786.109051325213</v>
      </c>
      <c r="K52" s="36">
        <f>SUM(I52/'Factors and data'!B157)*'Factors and data'!$B$147</f>
        <v>16703.578255672608</v>
      </c>
      <c r="L52" s="36">
        <f>K52*'Factors and data'!C125</f>
        <v>16118.953016724066</v>
      </c>
    </row>
    <row r="53" spans="1:12" x14ac:dyDescent="0.3">
      <c r="A53">
        <f>'Factors and data'!A274</f>
        <v>2021</v>
      </c>
      <c r="B53" s="62">
        <f>SUM('Factors and data'!B274/100)*$F26</f>
        <v>28833.017421785444</v>
      </c>
      <c r="C53" s="62">
        <f>SUM('Factors and data'!C274/100)*$F26</f>
        <v>84.592952625150645</v>
      </c>
      <c r="D53" s="62">
        <f>SUM('Factors and data'!D274/100)*$F26</f>
        <v>2537.7885787545192</v>
      </c>
      <c r="E53" s="62">
        <f>SUM('Factors and data'!E274/100)*$F26</f>
        <v>25.188143289781333</v>
      </c>
      <c r="F53" s="62">
        <f>SUM('Factors and data'!F274/100)*$F26</f>
        <v>169.18590525030129</v>
      </c>
      <c r="G53" s="62">
        <f>SUM('Factors and data'!G274/100)*$F26</f>
        <v>527.34588815467953</v>
      </c>
      <c r="H53" s="62">
        <f>SUM('Factors and data'!H274/100)*$F26</f>
        <v>-2497.955312872054</v>
      </c>
      <c r="I53" s="62">
        <f>SUM('Factors and data'!I274/100)*$F26</f>
        <v>29679.163576987823</v>
      </c>
      <c r="K53" s="36">
        <f>SUM(I53/'Factors and data'!B158)*'Factors and data'!$B$147</f>
        <v>24578.280710764378</v>
      </c>
      <c r="L53" s="36">
        <f>K53*'Factors and data'!C126</f>
        <v>22887.909454881559</v>
      </c>
    </row>
    <row r="54" spans="1:12" x14ac:dyDescent="0.3">
      <c r="A54">
        <f>'Factors and data'!A275</f>
        <v>2022</v>
      </c>
      <c r="B54" s="62">
        <f>SUM('Factors and data'!B275/100)*$F27</f>
        <v>28833.017421785444</v>
      </c>
      <c r="C54" s="62">
        <f>SUM('Factors and data'!C275/100)*$F27</f>
        <v>84.592952625150645</v>
      </c>
      <c r="D54" s="62">
        <f>SUM('Factors and data'!D275/100)*$F27</f>
        <v>2537.7885787545192</v>
      </c>
      <c r="E54" s="62">
        <f>SUM('Factors and data'!E275/100)*$F27</f>
        <v>25.188143289781333</v>
      </c>
      <c r="F54" s="62">
        <f>SUM('Factors and data'!F275/100)*$F27</f>
        <v>169.18590525030129</v>
      </c>
      <c r="G54" s="62">
        <f>SUM('Factors and data'!G275/100)*$F27</f>
        <v>527.34588815467953</v>
      </c>
      <c r="H54" s="62">
        <f>SUM('Factors and data'!H275/100)*$F27</f>
        <v>-2497.955312872054</v>
      </c>
      <c r="I54" s="62">
        <f>SUM('Factors and data'!I275/100)*$F27</f>
        <v>29679.163576987823</v>
      </c>
      <c r="K54" s="36">
        <f>SUM(I54/'Factors and data'!B159)*'Factors and data'!$B$147</f>
        <v>24114.855882035172</v>
      </c>
      <c r="L54" s="36">
        <f>K54*'Factors and data'!C127</f>
        <v>21670.384185342013</v>
      </c>
    </row>
    <row r="55" spans="1:12" x14ac:dyDescent="0.3">
      <c r="A55">
        <f>'Factors and data'!A276</f>
        <v>2023</v>
      </c>
      <c r="B55" s="62">
        <f>SUM('Factors and data'!B276/100)*$F28</f>
        <v>28833.017421785444</v>
      </c>
      <c r="C55" s="62">
        <f>SUM('Factors and data'!C276/100)*$F28</f>
        <v>84.592952625150645</v>
      </c>
      <c r="D55" s="62">
        <f>SUM('Factors and data'!D276/100)*$F28</f>
        <v>2537.7885787545192</v>
      </c>
      <c r="E55" s="62">
        <f>SUM('Factors and data'!E276/100)*$F28</f>
        <v>25.188143289781333</v>
      </c>
      <c r="F55" s="62">
        <f>SUM('Factors and data'!F276/100)*$F28</f>
        <v>169.18590525030129</v>
      </c>
      <c r="G55" s="62">
        <f>SUM('Factors and data'!G276/100)*$F28</f>
        <v>527.34588815467953</v>
      </c>
      <c r="H55" s="62">
        <f>SUM('Factors and data'!H276/100)*$F28</f>
        <v>-2497.955312872054</v>
      </c>
      <c r="I55" s="62">
        <f>SUM('Factors and data'!I276/100)*$F28</f>
        <v>29679.163576987823</v>
      </c>
      <c r="K55" s="36">
        <f>SUM(I55/'Factors and data'!B160)*'Factors and data'!$B$147</f>
        <v>23660.418573357591</v>
      </c>
      <c r="L55" s="36">
        <f>K55*'Factors and data'!C128</f>
        <v>20517.841793231994</v>
      </c>
    </row>
    <row r="56" spans="1:12" x14ac:dyDescent="0.3">
      <c r="A56">
        <f>'Factors and data'!A277</f>
        <v>2024</v>
      </c>
      <c r="B56" s="62">
        <f>SUM('Factors and data'!B277/100)*$F29</f>
        <v>28833.017421785444</v>
      </c>
      <c r="C56" s="62">
        <f>SUM('Factors and data'!C277/100)*$F29</f>
        <v>84.592952625150645</v>
      </c>
      <c r="D56" s="62">
        <f>SUM('Factors and data'!D277/100)*$F29</f>
        <v>2537.7885787545192</v>
      </c>
      <c r="E56" s="62">
        <f>SUM('Factors and data'!E277/100)*$F29</f>
        <v>25.188143289781333</v>
      </c>
      <c r="F56" s="62">
        <f>SUM('Factors and data'!F277/100)*$F29</f>
        <v>169.18590525030129</v>
      </c>
      <c r="G56" s="62">
        <f>SUM('Factors and data'!G277/100)*$F29</f>
        <v>527.34588815467953</v>
      </c>
      <c r="H56" s="62">
        <f>SUM('Factors and data'!H277/100)*$F29</f>
        <v>-2497.955312872054</v>
      </c>
      <c r="I56" s="62">
        <f>SUM('Factors and data'!I277/100)*$F29</f>
        <v>29679.163576987823</v>
      </c>
      <c r="K56" s="36">
        <f>SUM(I56/'Factors and data'!B161)*'Factors and data'!$B$147</f>
        <v>23151.094494479054</v>
      </c>
      <c r="L56" s="36">
        <f>K56*'Factors and data'!C129</f>
        <v>19373.500323355063</v>
      </c>
    </row>
    <row r="57" spans="1:12" x14ac:dyDescent="0.3">
      <c r="A57">
        <f>'Factors and data'!A278</f>
        <v>2025</v>
      </c>
      <c r="B57" s="62">
        <f>SUM('Factors and data'!B278/100)*$F30</f>
        <v>34478.592871328859</v>
      </c>
      <c r="C57" s="62">
        <f>SUM('Factors and data'!C278/100)*$F30</f>
        <v>93.516821363309518</v>
      </c>
      <c r="D57" s="62">
        <f>SUM('Factors and data'!D278/100)*$F30</f>
        <v>2805.5046408992848</v>
      </c>
      <c r="E57" s="62">
        <f>SUM('Factors and data'!E278/100)*$F30</f>
        <v>14.692862256162943</v>
      </c>
      <c r="F57" s="62">
        <f>SUM('Factors and data'!F278/100)*$F30</f>
        <v>187.03364272661904</v>
      </c>
      <c r="G57" s="62">
        <f>SUM('Factors and data'!G278/100)*$F30</f>
        <v>495.18280502927905</v>
      </c>
      <c r="H57" s="62">
        <f>SUM('Factors and data'!H278/100)*$F30</f>
        <v>-2222.5183993333644</v>
      </c>
      <c r="I57" s="62">
        <f>SUM('Factors and data'!I278/100)*$F30</f>
        <v>35852.005244270156</v>
      </c>
      <c r="K57" s="36">
        <f>SUM(I57/'Factors and data'!B162)*'Factors and data'!$B$147</f>
        <v>27364.179189649894</v>
      </c>
      <c r="L57" s="36">
        <f>K57*'Factors and data'!C130</f>
        <v>22097.660946343687</v>
      </c>
    </row>
    <row r="58" spans="1:12" x14ac:dyDescent="0.3">
      <c r="A58">
        <f>'Factors and data'!A279</f>
        <v>2026</v>
      </c>
      <c r="B58" s="62">
        <f>SUM('Factors and data'!B279/100)*$F31</f>
        <v>34478.592871328859</v>
      </c>
      <c r="C58" s="62">
        <f>SUM('Factors and data'!C279/100)*$F31</f>
        <v>93.516821363309518</v>
      </c>
      <c r="D58" s="62">
        <f>SUM('Factors and data'!D279/100)*$F31</f>
        <v>2805.5046408992848</v>
      </c>
      <c r="E58" s="62">
        <f>SUM('Factors and data'!E279/100)*$F31</f>
        <v>14.692862256162943</v>
      </c>
      <c r="F58" s="62">
        <f>SUM('Factors and data'!F279/100)*$F31</f>
        <v>187.03364272661904</v>
      </c>
      <c r="G58" s="62">
        <f>SUM('Factors and data'!G279/100)*$F31</f>
        <v>495.18280502927905</v>
      </c>
      <c r="H58" s="62">
        <f>SUM('Factors and data'!H279/100)*$F31</f>
        <v>-2222.5183993333644</v>
      </c>
      <c r="I58" s="62">
        <f>SUM('Factors and data'!I279/100)*$F31</f>
        <v>35852.005244270156</v>
      </c>
      <c r="K58" s="36">
        <f>SUM(I58/'Factors and data'!B163)*'Factors and data'!$B$147</f>
        <v>26775.126408659395</v>
      </c>
      <c r="L58" s="36">
        <f>K58*'Factors and data'!C131</f>
        <v>20865.208232115128</v>
      </c>
    </row>
    <row r="59" spans="1:12" x14ac:dyDescent="0.3">
      <c r="A59">
        <f>'Factors and data'!A280</f>
        <v>2027</v>
      </c>
      <c r="B59" s="62">
        <f>SUM('Factors and data'!B280/100)*$F32</f>
        <v>34478.592871328859</v>
      </c>
      <c r="C59" s="62">
        <f>SUM('Factors and data'!C280/100)*$F32</f>
        <v>93.516821363309518</v>
      </c>
      <c r="D59" s="62">
        <f>SUM('Factors and data'!D280/100)*$F32</f>
        <v>2805.5046408992848</v>
      </c>
      <c r="E59" s="62">
        <f>SUM('Factors and data'!E280/100)*$F32</f>
        <v>14.692862256162943</v>
      </c>
      <c r="F59" s="62">
        <f>SUM('Factors and data'!F280/100)*$F32</f>
        <v>187.03364272661904</v>
      </c>
      <c r="G59" s="62">
        <f>SUM('Factors and data'!G280/100)*$F32</f>
        <v>495.18280502927905</v>
      </c>
      <c r="H59" s="62">
        <f>SUM('Factors and data'!H280/100)*$F32</f>
        <v>-2222.5183993333644</v>
      </c>
      <c r="I59" s="62">
        <f>SUM('Factors and data'!I280/100)*$F32</f>
        <v>35852.005244270156</v>
      </c>
      <c r="K59" s="36">
        <f>SUM(I59/'Factors and data'!B164)*'Factors and data'!$B$147</f>
        <v>26198.753824519947</v>
      </c>
      <c r="L59" s="36">
        <f>K59*'Factors and data'!C132</f>
        <v>19701.493095881695</v>
      </c>
    </row>
    <row r="60" spans="1:12" x14ac:dyDescent="0.3">
      <c r="A60">
        <f>'Factors and data'!A281</f>
        <v>2028</v>
      </c>
      <c r="B60" s="62">
        <f>SUM('Factors and data'!B281/100)*$F33</f>
        <v>34478.592871328859</v>
      </c>
      <c r="C60" s="62">
        <f>SUM('Factors and data'!C281/100)*$F33</f>
        <v>93.516821363309518</v>
      </c>
      <c r="D60" s="62">
        <f>SUM('Factors and data'!D281/100)*$F33</f>
        <v>2805.5046408992848</v>
      </c>
      <c r="E60" s="62">
        <f>SUM('Factors and data'!E281/100)*$F33</f>
        <v>14.692862256162943</v>
      </c>
      <c r="F60" s="62">
        <f>SUM('Factors and data'!F281/100)*$F33</f>
        <v>187.03364272661904</v>
      </c>
      <c r="G60" s="62">
        <f>SUM('Factors and data'!G281/100)*$F33</f>
        <v>495.18280502927905</v>
      </c>
      <c r="H60" s="62">
        <f>SUM('Factors and data'!H281/100)*$F33</f>
        <v>-2222.5183993333644</v>
      </c>
      <c r="I60" s="62">
        <f>SUM('Factors and data'!I281/100)*$F33</f>
        <v>35852.005244270156</v>
      </c>
      <c r="K60" s="36">
        <f>SUM(I60/'Factors and data'!B165)*'Factors and data'!$B$147</f>
        <v>25634.788478003862</v>
      </c>
      <c r="L60" s="36">
        <f>K60*'Factors and data'!C133</f>
        <v>18602.68183710943</v>
      </c>
    </row>
    <row r="61" spans="1:12" x14ac:dyDescent="0.3">
      <c r="A61">
        <f>'Factors and data'!A282</f>
        <v>2029</v>
      </c>
      <c r="B61" s="62">
        <f>SUM('Factors and data'!B282/100)*$F34</f>
        <v>34478.592871328859</v>
      </c>
      <c r="C61" s="62">
        <f>SUM('Factors and data'!C282/100)*$F34</f>
        <v>93.516821363309518</v>
      </c>
      <c r="D61" s="62">
        <f>SUM('Factors and data'!D282/100)*$F34</f>
        <v>2805.5046408992848</v>
      </c>
      <c r="E61" s="62">
        <f>SUM('Factors and data'!E282/100)*$F34</f>
        <v>14.692862256162943</v>
      </c>
      <c r="F61" s="62">
        <f>SUM('Factors and data'!F282/100)*$F34</f>
        <v>187.03364272661904</v>
      </c>
      <c r="G61" s="62">
        <f>SUM('Factors and data'!G282/100)*$F34</f>
        <v>495.18280502927905</v>
      </c>
      <c r="H61" s="62">
        <f>SUM('Factors and data'!H282/100)*$F34</f>
        <v>-2222.5183993333644</v>
      </c>
      <c r="I61" s="62">
        <f>SUM('Factors and data'!I282/100)*$F34</f>
        <v>35852.005244270156</v>
      </c>
      <c r="K61" s="36">
        <f>SUM(I61/'Factors and data'!B166)*'Factors and data'!$B$147</f>
        <v>25082.963285718066</v>
      </c>
      <c r="L61" s="36">
        <f>K61*'Factors and data'!C134</f>
        <v>17565.154572221723</v>
      </c>
    </row>
    <row r="62" spans="1:12" x14ac:dyDescent="0.3">
      <c r="A62">
        <f>'Factors and data'!A283</f>
        <v>2030</v>
      </c>
      <c r="B62" s="62">
        <f>SUM('Factors and data'!B283/100)*$F35</f>
        <v>41456.28688145351</v>
      </c>
      <c r="C62" s="62">
        <f>SUM('Factors and data'!C283/100)*$F35</f>
        <v>104.26636081614456</v>
      </c>
      <c r="D62" s="62">
        <f>SUM('Factors and data'!D283/100)*$F35</f>
        <v>3127.9908244843359</v>
      </c>
      <c r="E62" s="62">
        <f>SUM('Factors and data'!E283/100)*$F35</f>
        <v>13.505638087425938</v>
      </c>
      <c r="F62" s="62">
        <f>SUM('Factors and data'!F283/100)*$F35</f>
        <v>208.53272163228911</v>
      </c>
      <c r="G62" s="62">
        <f>SUM('Factors and data'!G283/100)*$F35</f>
        <v>456.69029727461361</v>
      </c>
      <c r="H62" s="62">
        <f>SUM('Factors and data'!H283/100)*$F35</f>
        <v>-1920.8914929366617</v>
      </c>
      <c r="I62" s="62">
        <f>SUM('Factors and data'!I283/100)*$F35</f>
        <v>43446.381230811669</v>
      </c>
      <c r="K62" s="36">
        <f>SUM(I62/'Factors and data'!B167)*'Factors and data'!$B$147</f>
        <v>29741.858568810254</v>
      </c>
      <c r="L62" s="36">
        <f>K62*'Factors and data'!C135</f>
        <v>20098.726983643002</v>
      </c>
    </row>
    <row r="63" spans="1:12" x14ac:dyDescent="0.3">
      <c r="A63">
        <f>'Factors and data'!A284</f>
        <v>2031</v>
      </c>
      <c r="B63" s="62">
        <f>SUM('Factors and data'!B284/100)*$F36</f>
        <v>41456.28688145351</v>
      </c>
      <c r="C63" s="62">
        <f>SUM('Factors and data'!C284/100)*$F36</f>
        <v>104.26636081614456</v>
      </c>
      <c r="D63" s="62">
        <f>SUM('Factors and data'!D284/100)*$F36</f>
        <v>3127.9908244843359</v>
      </c>
      <c r="E63" s="62">
        <f>SUM('Factors and data'!E284/100)*$F36</f>
        <v>13.505638087425938</v>
      </c>
      <c r="F63" s="62">
        <f>SUM('Factors and data'!F284/100)*$F36</f>
        <v>208.53272163228911</v>
      </c>
      <c r="G63" s="62">
        <f>SUM('Factors and data'!G284/100)*$F36</f>
        <v>456.69029727461361</v>
      </c>
      <c r="H63" s="62">
        <f>SUM('Factors and data'!H284/100)*$F36</f>
        <v>-1920.8914929366617</v>
      </c>
      <c r="I63" s="62">
        <f>SUM('Factors and data'!I284/100)*$F36</f>
        <v>43446.381230811669</v>
      </c>
      <c r="K63" s="36">
        <f>SUM(I63/'Factors and data'!B168)*'Factors and data'!$B$147</f>
        <v>29101.622865763453</v>
      </c>
      <c r="L63" s="36">
        <f>K63*'Factors and data'!C136</f>
        <v>18977.760801580716</v>
      </c>
    </row>
    <row r="64" spans="1:12" x14ac:dyDescent="0.3">
      <c r="A64">
        <f>'Factors and data'!A285</f>
        <v>2032</v>
      </c>
      <c r="B64" s="62">
        <f>SUM('Factors and data'!B285/100)*$F37</f>
        <v>41456.28688145351</v>
      </c>
      <c r="C64" s="62">
        <f>SUM('Factors and data'!C285/100)*$F37</f>
        <v>104.26636081614456</v>
      </c>
      <c r="D64" s="62">
        <f>SUM('Factors and data'!D285/100)*$F37</f>
        <v>3127.9908244843359</v>
      </c>
      <c r="E64" s="62">
        <f>SUM('Factors and data'!E285/100)*$F37</f>
        <v>13.505638087425938</v>
      </c>
      <c r="F64" s="62">
        <f>SUM('Factors and data'!F285/100)*$F37</f>
        <v>208.53272163228911</v>
      </c>
      <c r="G64" s="62">
        <f>SUM('Factors and data'!G285/100)*$F37</f>
        <v>456.69029727461361</v>
      </c>
      <c r="H64" s="62">
        <f>SUM('Factors and data'!H285/100)*$F37</f>
        <v>-1920.8914929366617</v>
      </c>
      <c r="I64" s="62">
        <f>SUM('Factors and data'!I285/100)*$F37</f>
        <v>43446.381230811669</v>
      </c>
      <c r="K64" s="36">
        <f>SUM(I64/'Factors and data'!B169)*'Factors and data'!$B$147</f>
        <v>28475.169144582633</v>
      </c>
      <c r="L64" s="36">
        <f>K64*'Factors and data'!C137</f>
        <v>17919.31425980958</v>
      </c>
    </row>
    <row r="65" spans="1:18" x14ac:dyDescent="0.3">
      <c r="A65">
        <f>'Factors and data'!A286</f>
        <v>2033</v>
      </c>
      <c r="B65" s="62">
        <f>SUM('Factors and data'!B286/100)*$F38</f>
        <v>41456.28688145351</v>
      </c>
      <c r="C65" s="62">
        <f>SUM('Factors and data'!C286/100)*$F38</f>
        <v>104.26636081614456</v>
      </c>
      <c r="D65" s="62">
        <f>SUM('Factors and data'!D286/100)*$F38</f>
        <v>3127.9908244843359</v>
      </c>
      <c r="E65" s="62">
        <f>SUM('Factors and data'!E286/100)*$F38</f>
        <v>13.505638087425938</v>
      </c>
      <c r="F65" s="62">
        <f>SUM('Factors and data'!F286/100)*$F38</f>
        <v>208.53272163228911</v>
      </c>
      <c r="G65" s="62">
        <f>SUM('Factors and data'!G286/100)*$F38</f>
        <v>456.69029727461361</v>
      </c>
      <c r="H65" s="62">
        <f>SUM('Factors and data'!H286/100)*$F38</f>
        <v>-1920.8914929366617</v>
      </c>
      <c r="I65" s="62">
        <f>SUM('Factors and data'!I286/100)*$F38</f>
        <v>43446.381230811669</v>
      </c>
      <c r="K65" s="36">
        <f>SUM(I65/'Factors and data'!B170)*'Factors and data'!$B$147</f>
        <v>27862.200728554439</v>
      </c>
      <c r="L65" s="36">
        <f>K65*'Factors and data'!C138</f>
        <v>16919.900450798676</v>
      </c>
    </row>
    <row r="66" spans="1:18" x14ac:dyDescent="0.3">
      <c r="A66">
        <f>'Factors and data'!A287</f>
        <v>2034</v>
      </c>
      <c r="B66" s="62">
        <f>SUM('Factors and data'!B287/100)*$F39</f>
        <v>41456.28688145351</v>
      </c>
      <c r="C66" s="62">
        <f>SUM('Factors and data'!C287/100)*$F39</f>
        <v>104.26636081614456</v>
      </c>
      <c r="D66" s="62">
        <f>SUM('Factors and data'!D287/100)*$F39</f>
        <v>3127.9908244843359</v>
      </c>
      <c r="E66" s="62">
        <f>SUM('Factors and data'!E287/100)*$F39</f>
        <v>13.505638087425938</v>
      </c>
      <c r="F66" s="62">
        <f>SUM('Factors and data'!F287/100)*$F39</f>
        <v>208.53272163228911</v>
      </c>
      <c r="G66" s="62">
        <f>SUM('Factors and data'!G287/100)*$F39</f>
        <v>456.69029727461361</v>
      </c>
      <c r="H66" s="62">
        <f>SUM('Factors and data'!H287/100)*$F39</f>
        <v>-1920.8914929366617</v>
      </c>
      <c r="I66" s="62">
        <f>SUM('Factors and data'!I287/100)*$F39</f>
        <v>43446.381230811669</v>
      </c>
      <c r="K66" s="36">
        <f>SUM(I66/'Factors and data'!B171)*'Factors and data'!$B$147</f>
        <v>27262.427327352674</v>
      </c>
      <c r="L66" s="36">
        <f>K66*'Factors and data'!C139</f>
        <v>15976.22694229033</v>
      </c>
    </row>
    <row r="67" spans="1:18" x14ac:dyDescent="0.3">
      <c r="A67">
        <f>'Factors and data'!A288</f>
        <v>2035</v>
      </c>
      <c r="B67" s="62">
        <f>SUM('Factors and data'!B288/100)*$F40</f>
        <v>52085.052398501524</v>
      </c>
      <c r="C67" s="62">
        <f>SUM('Factors and data'!C288/100)*$F40</f>
        <v>116.25153463682385</v>
      </c>
      <c r="D67" s="62">
        <f>SUM('Factors and data'!D288/100)*$F40</f>
        <v>3487.5460391047154</v>
      </c>
      <c r="E67" s="62">
        <f>SUM('Factors and data'!E288/100)*$F40</f>
        <v>14.088104326665313</v>
      </c>
      <c r="F67" s="62">
        <f>SUM('Factors and data'!F288/100)*$F40</f>
        <v>232.5030692736477</v>
      </c>
      <c r="G67" s="62">
        <f>SUM('Factors and data'!G288/100)*$F40</f>
        <v>612.92993794893766</v>
      </c>
      <c r="H67" s="62">
        <f>SUM('Factors and data'!H288/100)*$F40</f>
        <v>-1775.0321900309</v>
      </c>
      <c r="I67" s="62">
        <f>SUM('Factors and data'!I288/100)*$F40</f>
        <v>54773.338893761429</v>
      </c>
      <c r="K67" s="36">
        <f>SUM(I67/'Factors and data'!B172)*'Factors and data'!$B$147</f>
        <v>33630.183113848194</v>
      </c>
      <c r="L67" s="36">
        <f>K67*'Factors and data'!C140</f>
        <v>19018.061414641805</v>
      </c>
    </row>
    <row r="68" spans="1:18" x14ac:dyDescent="0.3">
      <c r="A68">
        <f>'Factors and data'!A289</f>
        <v>2036</v>
      </c>
      <c r="B68" s="62">
        <f>SUM('Factors and data'!B289/100)*$F41</f>
        <v>52085.052398501524</v>
      </c>
      <c r="C68" s="62">
        <f>SUM('Factors and data'!C289/100)*$F41</f>
        <v>116.25153463682385</v>
      </c>
      <c r="D68" s="62">
        <f>SUM('Factors and data'!D289/100)*$F41</f>
        <v>3487.5460391047154</v>
      </c>
      <c r="E68" s="62">
        <f>SUM('Factors and data'!E289/100)*$F41</f>
        <v>14.088104326665313</v>
      </c>
      <c r="F68" s="62">
        <f>SUM('Factors and data'!F289/100)*$F41</f>
        <v>232.5030692736477</v>
      </c>
      <c r="G68" s="62">
        <f>SUM('Factors and data'!G289/100)*$F41</f>
        <v>612.92993794893766</v>
      </c>
      <c r="H68" s="62">
        <f>SUM('Factors and data'!H289/100)*$F41</f>
        <v>-1775.0321900309</v>
      </c>
      <c r="I68" s="62">
        <f>SUM('Factors and data'!I289/100)*$F41</f>
        <v>54773.338893761429</v>
      </c>
      <c r="K68" s="36">
        <f>SUM(I68/'Factors and data'!B173)*'Factors and data'!$B$147</f>
        <v>32906.245708266331</v>
      </c>
      <c r="L68" s="36">
        <f>K68*'Factors and data'!C141</f>
        <v>17957.367187015006</v>
      </c>
    </row>
    <row r="69" spans="1:18" x14ac:dyDescent="0.3">
      <c r="A69">
        <f>'Factors and data'!A290</f>
        <v>2037</v>
      </c>
      <c r="B69" s="62">
        <f>SUM('Factors and data'!B290/100)*$F42</f>
        <v>52085.052398501524</v>
      </c>
      <c r="C69" s="62">
        <f>SUM('Factors and data'!C290/100)*$F42</f>
        <v>116.25153463682385</v>
      </c>
      <c r="D69" s="62">
        <f>SUM('Factors and data'!D290/100)*$F42</f>
        <v>3487.5460391047154</v>
      </c>
      <c r="E69" s="62">
        <f>SUM('Factors and data'!E290/100)*$F42</f>
        <v>14.088104326665313</v>
      </c>
      <c r="F69" s="62">
        <f>SUM('Factors and data'!F290/100)*$F42</f>
        <v>232.5030692736477</v>
      </c>
      <c r="G69" s="62">
        <f>SUM('Factors and data'!G290/100)*$F42</f>
        <v>612.92993794893766</v>
      </c>
      <c r="H69" s="62">
        <f>SUM('Factors and data'!H290/100)*$F42</f>
        <v>-1775.0321900309</v>
      </c>
      <c r="I69" s="62">
        <f>SUM('Factors and data'!I290/100)*$F42</f>
        <v>54773.338893761429</v>
      </c>
      <c r="K69" s="36">
        <f>SUM(I69/'Factors and data'!B174)*'Factors and data'!$B$147</f>
        <v>32197.89208245237</v>
      </c>
      <c r="L69" s="36">
        <f>K69*'Factors and data'!C142</f>
        <v>16955.83105231847</v>
      </c>
    </row>
    <row r="70" spans="1:18" x14ac:dyDescent="0.3">
      <c r="A70">
        <f>'Factors and data'!A291</f>
        <v>2038</v>
      </c>
      <c r="B70" s="62">
        <f>SUM('Factors and data'!B291/100)*$F43</f>
        <v>52085.052398501524</v>
      </c>
      <c r="C70" s="62">
        <f>SUM('Factors and data'!C291/100)*$F43</f>
        <v>116.25153463682385</v>
      </c>
      <c r="D70" s="62">
        <f>SUM('Factors and data'!D291/100)*$F43</f>
        <v>3487.5460391047154</v>
      </c>
      <c r="E70" s="62">
        <f>SUM('Factors and data'!E291/100)*$F43</f>
        <v>14.088104326665313</v>
      </c>
      <c r="F70" s="62">
        <f>SUM('Factors and data'!F291/100)*$F43</f>
        <v>232.5030692736477</v>
      </c>
      <c r="G70" s="62">
        <f>SUM('Factors and data'!G291/100)*$F43</f>
        <v>612.92993794893766</v>
      </c>
      <c r="H70" s="62">
        <f>SUM('Factors and data'!H291/100)*$F43</f>
        <v>-1775.0321900309</v>
      </c>
      <c r="I70" s="62">
        <f>SUM('Factors and data'!I291/100)*$F43</f>
        <v>54773.338893761429</v>
      </c>
      <c r="K70" s="36">
        <f>SUM(I70/'Factors and data'!B175)*'Factors and data'!$B$147</f>
        <v>31504.786773436761</v>
      </c>
      <c r="L70" s="36">
        <f>K70*'Factors and data'!C143</f>
        <v>16010.153586582506</v>
      </c>
    </row>
    <row r="71" spans="1:18" x14ac:dyDescent="0.3">
      <c r="A71" s="68" t="s">
        <v>186</v>
      </c>
      <c r="B71" s="36">
        <f>SUM(B51:B70)</f>
        <v>730492.39547384542</v>
      </c>
      <c r="C71" s="36">
        <f t="shared" ref="C71:I71" si="4">SUM(C51:C70)</f>
        <v>1874.5658153629565</v>
      </c>
      <c r="D71" s="36">
        <f t="shared" si="4"/>
        <v>56236.974460888712</v>
      </c>
      <c r="E71" s="36">
        <f t="shared" si="4"/>
        <v>333.57731144924662</v>
      </c>
      <c r="F71" s="36">
        <f t="shared" si="4"/>
        <v>3749.1316307259131</v>
      </c>
      <c r="G71" s="36">
        <f t="shared" si="4"/>
        <v>9867.6098830614264</v>
      </c>
      <c r="H71" s="36">
        <f t="shared" si="4"/>
        <v>-40419.831609753026</v>
      </c>
      <c r="I71" s="36">
        <f t="shared" si="4"/>
        <v>762134.42296558025</v>
      </c>
      <c r="K71" s="36">
        <f>SUM(K51:K70)</f>
        <v>522869.66611642641</v>
      </c>
      <c r="L71" s="37">
        <f>SUM(L51:L70)</f>
        <v>366157.3708363857</v>
      </c>
      <c r="M71" s="24" t="s">
        <v>183</v>
      </c>
      <c r="N71" s="24"/>
      <c r="O71" s="24"/>
      <c r="P71" s="24"/>
      <c r="Q71" s="24"/>
      <c r="R71" s="24"/>
    </row>
    <row r="73" spans="1:18" x14ac:dyDescent="0.3">
      <c r="A73" t="s">
        <v>215</v>
      </c>
      <c r="B73" t="str">
        <f>B50</f>
        <v>Congestion</v>
      </c>
      <c r="C73" t="str">
        <f t="shared" ref="C73:I73" si="5">C50</f>
        <v>Infrastructure</v>
      </c>
      <c r="D73" t="str">
        <f t="shared" si="5"/>
        <v>Accident</v>
      </c>
      <c r="E73" t="str">
        <f t="shared" si="5"/>
        <v>Local Air Quality</v>
      </c>
      <c r="F73" t="str">
        <f t="shared" si="5"/>
        <v>Noise</v>
      </c>
      <c r="G73" t="str">
        <f t="shared" si="5"/>
        <v>Greenhouse Gases</v>
      </c>
      <c r="H73" t="str">
        <f t="shared" si="5"/>
        <v>Indirect Taxation</v>
      </c>
      <c r="I73" t="str">
        <f t="shared" si="5"/>
        <v>Nominal Prices</v>
      </c>
    </row>
    <row r="74" spans="1:18" x14ac:dyDescent="0.3">
      <c r="A74">
        <f>A51</f>
        <v>2019</v>
      </c>
      <c r="B74" s="36">
        <f>SUM(B51/'Factors and data'!$B156)*'Factors and data'!$B$147*'Factors and data'!$C124</f>
        <v>6817.6968375804872</v>
      </c>
      <c r="C74" s="36">
        <f>SUM(C51/'Factors and data'!$B156)*'Factors and data'!$B$147*'Factors and data'!$C124</f>
        <v>22.264731176645171</v>
      </c>
      <c r="D74" s="36">
        <f>SUM(D51/'Factors and data'!$B156)*'Factors and data'!$B$147*'Factors and data'!$C124</f>
        <v>667.94193529935501</v>
      </c>
      <c r="E74" s="36">
        <f>SUM(E51/'Factors and data'!$B156)*'Factors and data'!$B$147*'Factors and data'!$C124</f>
        <v>16.079248526314686</v>
      </c>
      <c r="F74" s="36">
        <f>SUM(F51/'Factors and data'!$B156)*'Factors and data'!$B$147*'Factors and data'!$C124</f>
        <v>44.529462353290342</v>
      </c>
      <c r="G74" s="36">
        <f>SUM(G51/'Factors and data'!$B156)*'Factors and data'!$B$147*'Factors and data'!$C124</f>
        <v>168.27803702783538</v>
      </c>
      <c r="H74" s="36">
        <f>SUM(H51/'Factors and data'!$B156)*'Factors and data'!$B$147*'Factors and data'!$C124</f>
        <v>-813.5495514646575</v>
      </c>
      <c r="I74" s="36">
        <f>SUM(B74:H74)</f>
        <v>6923.2407004992692</v>
      </c>
    </row>
    <row r="75" spans="1:18" x14ac:dyDescent="0.3">
      <c r="A75">
        <f t="shared" ref="A75" si="6">A52</f>
        <v>2020</v>
      </c>
      <c r="B75" s="36">
        <f>SUM(B52/'Factors and data'!$B157)*'Factors and data'!$B$147*'Factors and data'!$C125</f>
        <v>15659.40535846175</v>
      </c>
      <c r="C75" s="36">
        <f>SUM(C52/'Factors and data'!$B157)*'Factors and data'!$B$147*'Factors and data'!$C125</f>
        <v>45.943000562455751</v>
      </c>
      <c r="D75" s="36">
        <f>SUM(D52/'Factors and data'!$B157)*'Factors and data'!$B$147*'Factors and data'!$C125</f>
        <v>1378.2900168736724</v>
      </c>
      <c r="E75" s="36">
        <f>SUM(E52/'Factors and data'!$B157)*'Factors and data'!$B$147*'Factors and data'!$C125</f>
        <v>13.679849744192316</v>
      </c>
      <c r="F75" s="36">
        <f>SUM(F52/'Factors and data'!$B157)*'Factors and data'!$B$147*'Factors and data'!$C125</f>
        <v>91.886001124911502</v>
      </c>
      <c r="G75" s="36">
        <f>SUM(G52/'Factors and data'!$B157)*'Factors and data'!$B$147*'Factors and data'!$C125</f>
        <v>286.40509267312058</v>
      </c>
      <c r="H75" s="36">
        <f>SUM(H52/'Factors and data'!$B157)*'Factors and data'!$B$147*'Factors and data'!$C125</f>
        <v>-1356.6563027160412</v>
      </c>
      <c r="I75" s="36">
        <f t="shared" ref="I75:I93" si="7">SUM(B75:H75)</f>
        <v>16118.953016724063</v>
      </c>
    </row>
    <row r="76" spans="1:18" x14ac:dyDescent="0.3">
      <c r="A76">
        <f t="shared" ref="A76" si="8">A53</f>
        <v>2021</v>
      </c>
      <c r="B76" s="36">
        <f>SUM(B53/'Factors and data'!$B158)*'Factors and data'!$B$147*'Factors and data'!$C126</f>
        <v>22235.380399080121</v>
      </c>
      <c r="C76" s="36">
        <f>SUM(C53/'Factors and data'!$B158)*'Factors and data'!$B$147*'Factors and data'!$C126</f>
        <v>65.236199638279558</v>
      </c>
      <c r="D76" s="36">
        <f>SUM(D53/'Factors and data'!$B158)*'Factors and data'!$B$147*'Factors and data'!$C126</f>
        <v>1957.0859891483869</v>
      </c>
      <c r="E76" s="36">
        <f>SUM(E53/'Factors and data'!$B158)*'Factors and data'!$B$147*'Factors and data'!$C126</f>
        <v>19.424534706230688</v>
      </c>
      <c r="F76" s="36">
        <f>SUM(F53/'Factors and data'!$B158)*'Factors and data'!$B$147*'Factors and data'!$C126</f>
        <v>130.47239927655912</v>
      </c>
      <c r="G76" s="36">
        <f>SUM(G53/'Factors and data'!$B158)*'Factors and data'!$B$147*'Factors and data'!$C126</f>
        <v>406.6773953443531</v>
      </c>
      <c r="H76" s="36">
        <f>SUM(H53/'Factors and data'!$B158)*'Factors and data'!$B$147*'Factors and data'!$C126</f>
        <v>-1926.367462312375</v>
      </c>
      <c r="I76" s="36">
        <f t="shared" si="7"/>
        <v>22887.909454881552</v>
      </c>
    </row>
    <row r="77" spans="1:18" x14ac:dyDescent="0.3">
      <c r="A77">
        <f t="shared" ref="A77" si="9">A54</f>
        <v>2022</v>
      </c>
      <c r="B77" s="36">
        <f>SUM(B54/'Factors and data'!$B159)*'Factors and data'!$B$147*'Factors and data'!$C127</f>
        <v>21052.566496086009</v>
      </c>
      <c r="C77" s="36">
        <f>SUM(C54/'Factors and data'!$B159)*'Factors and data'!$B$147*'Factors and data'!$C127</f>
        <v>61.765951658449687</v>
      </c>
      <c r="D77" s="36">
        <f>SUM(D54/'Factors and data'!$B159)*'Factors and data'!$B$147*'Factors and data'!$C127</f>
        <v>1852.9785497534908</v>
      </c>
      <c r="E77" s="36">
        <f>SUM(E54/'Factors and data'!$B159)*'Factors and data'!$B$147*'Factors and data'!$C127</f>
        <v>18.391244099218099</v>
      </c>
      <c r="F77" s="36">
        <f>SUM(F54/'Factors and data'!$B159)*'Factors and data'!$B$147*'Factors and data'!$C127</f>
        <v>123.53190331689937</v>
      </c>
      <c r="G77" s="36">
        <f>SUM(G54/'Factors and data'!$B159)*'Factors and data'!$B$147*'Factors and data'!$C127</f>
        <v>385.04413930765247</v>
      </c>
      <c r="H77" s="36">
        <f>SUM(H54/'Factors and data'!$B159)*'Factors and data'!$B$147*'Factors and data'!$C127</f>
        <v>-1823.8940988797067</v>
      </c>
      <c r="I77" s="36">
        <f t="shared" si="7"/>
        <v>21670.384185342009</v>
      </c>
    </row>
    <row r="78" spans="1:18" x14ac:dyDescent="0.3">
      <c r="A78">
        <f t="shared" ref="A78" si="10">A55</f>
        <v>2023</v>
      </c>
      <c r="B78" s="36">
        <f>SUM(B55/'Factors and data'!$B160)*'Factors and data'!$B$147*'Factors and data'!$C128</f>
        <v>19932.882823571032</v>
      </c>
      <c r="C78" s="36">
        <f>SUM(C55/'Factors and data'!$B160)*'Factors and data'!$B$147*'Factors and data'!$C128</f>
        <v>58.480920942495267</v>
      </c>
      <c r="D78" s="36">
        <f>SUM(D55/'Factors and data'!$B160)*'Factors and data'!$B$147*'Factors and data'!$C128</f>
        <v>1754.4276282748581</v>
      </c>
      <c r="E78" s="36">
        <f>SUM(E55/'Factors and data'!$B160)*'Factors and data'!$B$147*'Factors and data'!$C128</f>
        <v>17.413103227939516</v>
      </c>
      <c r="F78" s="36">
        <f>SUM(F55/'Factors and data'!$B160)*'Factors and data'!$B$147*'Factors and data'!$C128</f>
        <v>116.96184188499053</v>
      </c>
      <c r="G78" s="36">
        <f>SUM(G55/'Factors and data'!$B160)*'Factors and data'!$B$147*'Factors and data'!$C128</f>
        <v>364.56551329022551</v>
      </c>
      <c r="H78" s="36">
        <f>SUM(H55/'Factors and data'!$B160)*'Factors and data'!$B$147*'Factors and data'!$C128</f>
        <v>-1726.890037959548</v>
      </c>
      <c r="I78" s="36">
        <f t="shared" si="7"/>
        <v>20517.841793231994</v>
      </c>
    </row>
    <row r="79" spans="1:18" x14ac:dyDescent="0.3">
      <c r="A79">
        <f t="shared" ref="A79" si="11">A56</f>
        <v>2024</v>
      </c>
      <c r="B79" s="36">
        <f>SUM(B56/'Factors and data'!$B161)*'Factors and data'!$B$147*'Factors and data'!$C129</f>
        <v>18821.166266874799</v>
      </c>
      <c r="C79" s="36">
        <f>SUM(C56/'Factors and data'!$B161)*'Factors and data'!$B$147*'Factors and data'!$C129</f>
        <v>55.219264882101704</v>
      </c>
      <c r="D79" s="36">
        <f>SUM(D56/'Factors and data'!$B161)*'Factors and data'!$B$147*'Factors and data'!$C129</f>
        <v>1656.5779464630511</v>
      </c>
      <c r="E79" s="36">
        <f>SUM(E56/'Factors and data'!$B161)*'Factors and data'!$B$147*'Factors and data'!$C129</f>
        <v>16.441922323837215</v>
      </c>
      <c r="F79" s="36">
        <f>SUM(F56/'Factors and data'!$B161)*'Factors and data'!$B$147*'Factors and data'!$C129</f>
        <v>110.43852976420341</v>
      </c>
      <c r="G79" s="36">
        <f>SUM(G56/'Factors and data'!$B161)*'Factors and data'!$B$147*'Factors and data'!$C129</f>
        <v>344.23260305779604</v>
      </c>
      <c r="H79" s="36">
        <f>SUM(H56/'Factors and data'!$B161)*'Factors and data'!$B$147*'Factors and data'!$C129</f>
        <v>-1630.5762100107279</v>
      </c>
      <c r="I79" s="36">
        <f t="shared" si="7"/>
        <v>19373.50032335506</v>
      </c>
    </row>
    <row r="80" spans="1:18" x14ac:dyDescent="0.3">
      <c r="A80">
        <f t="shared" ref="A80" si="12">A57</f>
        <v>2025</v>
      </c>
      <c r="B80" s="36">
        <f>SUM(B57/'Factors and data'!$B162)*'Factors and data'!$B$147*'Factors and data'!$C130</f>
        <v>21251.147599321892</v>
      </c>
      <c r="C80" s="36">
        <f>SUM(C57/'Factors and data'!$B162)*'Factors and data'!$B$147*'Factors and data'!$C130</f>
        <v>57.63981671838205</v>
      </c>
      <c r="D80" s="36">
        <f>SUM(D57/'Factors and data'!$B162)*'Factors and data'!$B$147*'Factors and data'!$C130</f>
        <v>1729.1945015514607</v>
      </c>
      <c r="E80" s="36">
        <f>SUM(E57/'Factors and data'!$B162)*'Factors and data'!$B$147*'Factors and data'!$C130</f>
        <v>9.0560593823384234</v>
      </c>
      <c r="F80" s="36">
        <f>SUM(F57/'Factors and data'!$B162)*'Factors and data'!$B$147*'Factors and data'!$C130</f>
        <v>115.2796334367641</v>
      </c>
      <c r="G80" s="36">
        <f>SUM(G57/'Factors and data'!$B162)*'Factors and data'!$B$147*'Factors and data'!$C130</f>
        <v>305.20975486427568</v>
      </c>
      <c r="H80" s="36">
        <f>SUM(H57/'Factors and data'!$B162)*'Factors and data'!$B$147*'Factors and data'!$C130</f>
        <v>-1369.8664189314291</v>
      </c>
      <c r="I80" s="36">
        <f t="shared" si="7"/>
        <v>22097.660946343683</v>
      </c>
    </row>
    <row r="81" spans="1:11" x14ac:dyDescent="0.3">
      <c r="A81">
        <f t="shared" ref="A81" si="13">A58</f>
        <v>2026</v>
      </c>
      <c r="B81" s="36">
        <f>SUM(B58/'Factors and data'!$B163)*'Factors and data'!$B$147*'Factors and data'!$C131</f>
        <v>20065.907469027032</v>
      </c>
      <c r="C81" s="36">
        <f>SUM(C58/'Factors and data'!$B163)*'Factors and data'!$B$147*'Factors and data'!$C131</f>
        <v>54.425071558941958</v>
      </c>
      <c r="D81" s="36">
        <f>SUM(D58/'Factors and data'!$B163)*'Factors and data'!$B$147*'Factors and data'!$C131</f>
        <v>1632.7521467682584</v>
      </c>
      <c r="E81" s="36">
        <f>SUM(E58/'Factors and data'!$B163)*'Factors and data'!$B$147*'Factors and data'!$C131</f>
        <v>8.5509758355739525</v>
      </c>
      <c r="F81" s="36">
        <f>SUM(F58/'Factors and data'!$B163)*'Factors and data'!$B$147*'Factors and data'!$C131</f>
        <v>108.85014311788392</v>
      </c>
      <c r="G81" s="36">
        <f>SUM(G58/'Factors and data'!$B163)*'Factors and data'!$B$147*'Factors and data'!$C131</f>
        <v>288.18729299806853</v>
      </c>
      <c r="H81" s="36">
        <f>SUM(H58/'Factors and data'!$B163)*'Factors and data'!$B$147*'Factors and data'!$C131</f>
        <v>-1293.4648671906352</v>
      </c>
      <c r="I81" s="36">
        <f t="shared" si="7"/>
        <v>20865.208232115121</v>
      </c>
    </row>
    <row r="82" spans="1:11" x14ac:dyDescent="0.3">
      <c r="A82">
        <f t="shared" ref="A82" si="14">A59</f>
        <v>2027</v>
      </c>
      <c r="B82" s="36">
        <f>SUM(B59/'Factors and data'!$B164)*'Factors and data'!$B$147*'Factors and data'!$C132</f>
        <v>18946.771729560747</v>
      </c>
      <c r="C82" s="36">
        <f>SUM(C59/'Factors and data'!$B164)*'Factors and data'!$B$147*'Factors and data'!$C132</f>
        <v>51.389622362406044</v>
      </c>
      <c r="D82" s="36">
        <f>SUM(D59/'Factors and data'!$B164)*'Factors and data'!$B$147*'Factors and data'!$C132</f>
        <v>1541.6886708721809</v>
      </c>
      <c r="E82" s="36">
        <f>SUM(E59/'Factors and data'!$B164)*'Factors and data'!$B$147*'Factors and data'!$C132</f>
        <v>8.0740623104979079</v>
      </c>
      <c r="F82" s="36">
        <f>SUM(F59/'Factors and data'!$B164)*'Factors and data'!$B$147*'Factors and data'!$C132</f>
        <v>102.77924472481209</v>
      </c>
      <c r="G82" s="36">
        <f>SUM(G59/'Factors and data'!$B164)*'Factors and data'!$B$147*'Factors and data'!$C132</f>
        <v>272.11422479758909</v>
      </c>
      <c r="H82" s="36">
        <f>SUM(H59/'Factors and data'!$B164)*'Factors and data'!$B$147*'Factors and data'!$C132</f>
        <v>-1221.3244587465388</v>
      </c>
      <c r="I82" s="36">
        <f t="shared" si="7"/>
        <v>19701.493095881691</v>
      </c>
    </row>
    <row r="83" spans="1:11" x14ac:dyDescent="0.3">
      <c r="A83">
        <f t="shared" ref="A83" si="15">A60</f>
        <v>2028</v>
      </c>
      <c r="B83" s="36">
        <f>SUM(B60/'Factors and data'!$B165)*'Factors and data'!$B$147*'Factors and data'!$C133</f>
        <v>17890.053541121448</v>
      </c>
      <c r="C83" s="36">
        <f>SUM(C60/'Factors and data'!$B165)*'Factors and data'!$B$147*'Factors and data'!$C133</f>
        <v>48.5234692560879</v>
      </c>
      <c r="D83" s="36">
        <f>SUM(D60/'Factors and data'!$B165)*'Factors and data'!$B$147*'Factors and data'!$C133</f>
        <v>1455.7040776826366</v>
      </c>
      <c r="E83" s="36">
        <f>SUM(E60/'Factors and data'!$B165)*'Factors and data'!$B$147*'Factors and data'!$C133</f>
        <v>7.6237476806560469</v>
      </c>
      <c r="F83" s="36">
        <f>SUM(F60/'Factors and data'!$B165)*'Factors and data'!$B$147*'Factors and data'!$C133</f>
        <v>97.046938512175799</v>
      </c>
      <c r="G83" s="36">
        <f>SUM(G60/'Factors and data'!$B165)*'Factors and data'!$B$147*'Factors and data'!$C133</f>
        <v>256.93759973549265</v>
      </c>
      <c r="H83" s="36">
        <f>SUM(H60/'Factors and data'!$B165)*'Factors and data'!$B$147*'Factors and data'!$C133</f>
        <v>-1153.2075368790704</v>
      </c>
      <c r="I83" s="36">
        <f t="shared" si="7"/>
        <v>18602.681837109423</v>
      </c>
    </row>
    <row r="84" spans="1:11" x14ac:dyDescent="0.3">
      <c r="A84">
        <f t="shared" ref="A84" si="16">A61</f>
        <v>2029</v>
      </c>
      <c r="B84" s="36">
        <f>SUM(B61/'Factors and data'!$B166)*'Factors and data'!$B$147*'Factors and data'!$C134</f>
        <v>16892.271690002148</v>
      </c>
      <c r="C84" s="36">
        <f>SUM(C61/'Factors and data'!$B166)*'Factors and data'!$B$147*'Factors and data'!$C134</f>
        <v>45.817170090141708</v>
      </c>
      <c r="D84" s="36">
        <f>SUM(D61/'Factors and data'!$B166)*'Factors and data'!$B$147*'Factors and data'!$C134</f>
        <v>1374.5151027042507</v>
      </c>
      <c r="E84" s="36">
        <f>SUM(E61/'Factors and data'!$B166)*'Factors and data'!$B$147*'Factors and data'!$C134</f>
        <v>7.1985484460206317</v>
      </c>
      <c r="F84" s="36">
        <f>SUM(F61/'Factors and data'!$B166)*'Factors and data'!$B$147*'Factors and data'!$C134</f>
        <v>91.634340180283417</v>
      </c>
      <c r="G84" s="36">
        <f>SUM(G61/'Factors and data'!$B166)*'Factors and data'!$B$147*'Factors and data'!$C134</f>
        <v>242.60742049388494</v>
      </c>
      <c r="H84" s="36">
        <f>SUM(H61/'Factors and data'!$B166)*'Factors and data'!$B$147*'Factors and data'!$C134</f>
        <v>-1088.8896996950125</v>
      </c>
      <c r="I84" s="36">
        <f t="shared" si="7"/>
        <v>17565.154572221716</v>
      </c>
    </row>
    <row r="85" spans="1:11" x14ac:dyDescent="0.3">
      <c r="A85">
        <f t="shared" ref="A85" si="17">A62</f>
        <v>2030</v>
      </c>
      <c r="B85" s="36">
        <f>SUM(B62/'Factors and data'!$B167)*'Factors and data'!$B$147*'Factors and data'!$C135</f>
        <v>19178.089594145669</v>
      </c>
      <c r="C85" s="36">
        <f>SUM(C62/'Factors and data'!$B167)*'Factors and data'!$B$147*'Factors and data'!$C135</f>
        <v>48.234652927445929</v>
      </c>
      <c r="D85" s="36">
        <f>SUM(D62/'Factors and data'!$B167)*'Factors and data'!$B$147*'Factors and data'!$C135</f>
        <v>1447.0395878233774</v>
      </c>
      <c r="E85" s="36">
        <f>SUM(E62/'Factors and data'!$B167)*'Factors and data'!$B$147*'Factors and data'!$C135</f>
        <v>6.2478421670377902</v>
      </c>
      <c r="F85" s="36">
        <f>SUM(F62/'Factors and data'!$B167)*'Factors and data'!$B$147*'Factors and data'!$C135</f>
        <v>96.469305854891857</v>
      </c>
      <c r="G85" s="36">
        <f>SUM(G62/'Factors and data'!$B167)*'Factors and data'!$B$147*'Factors and data'!$C135</f>
        <v>211.26946228818835</v>
      </c>
      <c r="H85" s="36">
        <f>SUM(H62/'Factors and data'!$B167)*'Factors and data'!$B$147*'Factors and data'!$C135</f>
        <v>-888.62346156361582</v>
      </c>
      <c r="I85" s="36">
        <f t="shared" si="7"/>
        <v>20098.726983642995</v>
      </c>
    </row>
    <row r="86" spans="1:11" x14ac:dyDescent="0.3">
      <c r="A86">
        <f t="shared" ref="A86" si="18">A63</f>
        <v>2031</v>
      </c>
      <c r="B86" s="36">
        <f>SUM(B63/'Factors and data'!$B168)*'Factors and data'!$B$147*'Factors and data'!$C136</f>
        <v>18108.470115802909</v>
      </c>
      <c r="C86" s="36">
        <f>SUM(C63/'Factors and data'!$B168)*'Factors and data'!$B$147*'Factors and data'!$C136</f>
        <v>45.544461912901482</v>
      </c>
      <c r="D86" s="36">
        <f>SUM(D63/'Factors and data'!$B168)*'Factors and data'!$B$147*'Factors and data'!$C136</f>
        <v>1366.3338573870442</v>
      </c>
      <c r="E86" s="36">
        <f>SUM(E63/'Factors and data'!$B168)*'Factors and data'!$B$147*'Factors and data'!$C136</f>
        <v>5.8993813025356827</v>
      </c>
      <c r="F86" s="36">
        <f>SUM(F63/'Factors and data'!$B168)*'Factors and data'!$B$147*'Factors and data'!$C136</f>
        <v>91.088923825802965</v>
      </c>
      <c r="G86" s="36">
        <f>SUM(G63/'Factors and data'!$B168)*'Factors and data'!$B$147*'Factors and data'!$C136</f>
        <v>199.48633180831874</v>
      </c>
      <c r="H86" s="36">
        <f>SUM(H63/'Factors and data'!$B168)*'Factors and data'!$B$147*'Factors and data'!$C136</f>
        <v>-839.06227045879575</v>
      </c>
      <c r="I86" s="36">
        <f t="shared" si="7"/>
        <v>18977.760801580716</v>
      </c>
    </row>
    <row r="87" spans="1:11" x14ac:dyDescent="0.3">
      <c r="A87">
        <f t="shared" ref="A87" si="19">A64</f>
        <v>2032</v>
      </c>
      <c r="B87" s="36">
        <f>SUM(B64/'Factors and data'!$B169)*'Factors and data'!$B$147*'Factors and data'!$C137</f>
        <v>17098.506518346185</v>
      </c>
      <c r="C87" s="36">
        <f>SUM(C64/'Factors and data'!$B169)*'Factors and data'!$B$147*'Factors and data'!$C137</f>
        <v>43.004310906017544</v>
      </c>
      <c r="D87" s="36">
        <f>SUM(D64/'Factors and data'!$B169)*'Factors and data'!$B$147*'Factors and data'!$C137</f>
        <v>1290.1293271805257</v>
      </c>
      <c r="E87" s="36">
        <f>SUM(E64/'Factors and data'!$B169)*'Factors and data'!$B$147*'Factors and data'!$C137</f>
        <v>5.5703551437836927</v>
      </c>
      <c r="F87" s="36">
        <f>SUM(F64/'Factors and data'!$B169)*'Factors and data'!$B$147*'Factors and data'!$C137</f>
        <v>86.008621812035088</v>
      </c>
      <c r="G87" s="36">
        <f>SUM(G64/'Factors and data'!$B169)*'Factors and data'!$B$147*'Factors and data'!$C137</f>
        <v>188.360381795526</v>
      </c>
      <c r="H87" s="36">
        <f>SUM(H64/'Factors and data'!$B169)*'Factors and data'!$B$147*'Factors and data'!$C137</f>
        <v>-792.26525537449879</v>
      </c>
      <c r="I87" s="36">
        <f t="shared" si="7"/>
        <v>17919.314259809573</v>
      </c>
    </row>
    <row r="88" spans="1:11" x14ac:dyDescent="0.3">
      <c r="A88">
        <f t="shared" ref="A88" si="20">A65</f>
        <v>2033</v>
      </c>
      <c r="B88" s="36">
        <f>SUM(B65/'Factors and data'!$B170)*'Factors and data'!$B$147*'Factors and data'!$C138</f>
        <v>16144.871614681086</v>
      </c>
      <c r="C88" s="36">
        <f>SUM(C65/'Factors and data'!$B170)*'Factors and data'!$B$147*'Factors and data'!$C138</f>
        <v>40.605831726327715</v>
      </c>
      <c r="D88" s="36">
        <f>SUM(D65/'Factors and data'!$B170)*'Factors and data'!$B$147*'Factors and data'!$C138</f>
        <v>1218.1749517898311</v>
      </c>
      <c r="E88" s="36">
        <f>SUM(E65/'Factors and data'!$B170)*'Factors and data'!$B$147*'Factors and data'!$C138</f>
        <v>5.2596797590521156</v>
      </c>
      <c r="F88" s="36">
        <f>SUM(F65/'Factors and data'!$B170)*'Factors and data'!$B$147*'Factors and data'!$C138</f>
        <v>81.211663452655429</v>
      </c>
      <c r="G88" s="36">
        <f>SUM(G65/'Factors and data'!$B170)*'Factors and data'!$B$147*'Factors and data'!$C138</f>
        <v>177.85495932747807</v>
      </c>
      <c r="H88" s="36">
        <f>SUM(H65/'Factors and data'!$B170)*'Factors and data'!$B$147*'Factors and data'!$C138</f>
        <v>-748.07824993776046</v>
      </c>
      <c r="I88" s="36">
        <f t="shared" si="7"/>
        <v>16919.900450798665</v>
      </c>
    </row>
    <row r="89" spans="1:11" x14ac:dyDescent="0.3">
      <c r="A89">
        <f t="shared" ref="A89" si="21">A66</f>
        <v>2034</v>
      </c>
      <c r="B89" s="36">
        <f>SUM(B66/'Factors and data'!$B171)*'Factors and data'!$B$147*'Factors and data'!$C139</f>
        <v>15244.423784899456</v>
      </c>
      <c r="C89" s="36">
        <f>SUM(C66/'Factors and data'!$B171)*'Factors and data'!$B$147*'Factors and data'!$C139</f>
        <v>38.341122911845638</v>
      </c>
      <c r="D89" s="36">
        <f>SUM(D66/'Factors and data'!$B171)*'Factors and data'!$B$147*'Factors and data'!$C139</f>
        <v>1150.2336873553688</v>
      </c>
      <c r="E89" s="36">
        <f>SUM(E66/'Factors and data'!$B171)*'Factors and data'!$B$147*'Factors and data'!$C139</f>
        <v>4.9663316707292475</v>
      </c>
      <c r="F89" s="36">
        <f>SUM(F66/'Factors and data'!$B171)*'Factors and data'!$B$147*'Factors and data'!$C139</f>
        <v>76.682245823691275</v>
      </c>
      <c r="G89" s="36">
        <f>SUM(G66/'Factors and data'!$B171)*'Factors and data'!$B$147*'Factors and data'!$C139</f>
        <v>167.93545572506486</v>
      </c>
      <c r="H89" s="36">
        <f>SUM(H66/'Factors and data'!$B171)*'Factors and data'!$B$147*'Factors and data'!$C139</f>
        <v>-706.35568609583049</v>
      </c>
      <c r="I89" s="36">
        <f t="shared" si="7"/>
        <v>15976.22694229033</v>
      </c>
    </row>
    <row r="90" spans="1:11" x14ac:dyDescent="0.3">
      <c r="A90">
        <f t="shared" ref="A90" si="22">A67</f>
        <v>2035</v>
      </c>
      <c r="B90" s="36">
        <f>SUM(B67/'Factors and data'!$B172)*'Factors and data'!$B$147*'Factors and data'!$C140</f>
        <v>18084.651133297273</v>
      </c>
      <c r="C90" s="36">
        <f>SUM(C67/'Factors and data'!$B172)*'Factors and data'!$B$147*'Factors and data'!$C140</f>
        <v>40.364141933317292</v>
      </c>
      <c r="D90" s="36">
        <f>SUM(D67/'Factors and data'!$B172)*'Factors and data'!$B$147*'Factors and data'!$C140</f>
        <v>1210.9242579995187</v>
      </c>
      <c r="E90" s="36">
        <f>SUM(E67/'Factors and data'!$B172)*'Factors and data'!$B$147*'Factors and data'!$C140</f>
        <v>4.8915848241436732</v>
      </c>
      <c r="F90" s="36">
        <f>SUM(F67/'Factors and data'!$B172)*'Factors and data'!$B$147*'Factors and data'!$C140</f>
        <v>80.728283866634584</v>
      </c>
      <c r="G90" s="36">
        <f>SUM(G67/'Factors and data'!$B172)*'Factors and data'!$B$147*'Factors and data'!$C140</f>
        <v>212.81775838779774</v>
      </c>
      <c r="H90" s="36">
        <f>SUM(H67/'Factors and data'!$B172)*'Factors and data'!$B$147*'Factors and data'!$C140</f>
        <v>-616.31574566688903</v>
      </c>
      <c r="I90" s="36">
        <f t="shared" si="7"/>
        <v>19018.061414641801</v>
      </c>
    </row>
    <row r="91" spans="1:11" x14ac:dyDescent="0.3">
      <c r="A91">
        <f t="shared" ref="A91" si="23">A68</f>
        <v>2036</v>
      </c>
      <c r="B91" s="36">
        <f>SUM(B68/'Factors and data'!$B173)*'Factors and data'!$B$147*'Factors and data'!$C141</f>
        <v>17076.015991812001</v>
      </c>
      <c r="C91" s="36">
        <f>SUM(C68/'Factors and data'!$B173)*'Factors and data'!$B$147*'Factors and data'!$C141</f>
        <v>38.112912882241858</v>
      </c>
      <c r="D91" s="36">
        <f>SUM(D68/'Factors and data'!$B173)*'Factors and data'!$B$147*'Factors and data'!$C141</f>
        <v>1143.3873864672555</v>
      </c>
      <c r="E91" s="36">
        <f>SUM(E68/'Factors and data'!$B173)*'Factors and data'!$B$147*'Factors and data'!$C141</f>
        <v>4.6187664924644256</v>
      </c>
      <c r="F91" s="36">
        <f>SUM(F68/'Factors and data'!$B173)*'Factors and data'!$B$147*'Factors and data'!$C141</f>
        <v>76.225825764483716</v>
      </c>
      <c r="G91" s="36">
        <f>SUM(G68/'Factors and data'!$B173)*'Factors and data'!$B$147*'Factors and data'!$C141</f>
        <v>200.94827479865438</v>
      </c>
      <c r="H91" s="36">
        <f>SUM(H68/'Factors and data'!$B173)*'Factors and data'!$B$147*'Factors and data'!$C141</f>
        <v>-581.94197120210151</v>
      </c>
      <c r="I91" s="36">
        <f t="shared" si="7"/>
        <v>17957.367187015003</v>
      </c>
    </row>
    <row r="92" spans="1:11" x14ac:dyDescent="0.3">
      <c r="A92">
        <f t="shared" ref="A92" si="24">A69</f>
        <v>2037</v>
      </c>
      <c r="B92" s="36">
        <f>SUM(B69/'Factors and data'!$B174)*'Factors and data'!$B$147*'Factors and data'!$C142</f>
        <v>16123.635452151249</v>
      </c>
      <c r="C92" s="36">
        <f>SUM(C69/'Factors and data'!$B174)*'Factors and data'!$B$147*'Factors and data'!$C142</f>
        <v>35.987241615815442</v>
      </c>
      <c r="D92" s="36">
        <f>SUM(D69/'Factors and data'!$B174)*'Factors and data'!$B$147*'Factors and data'!$C142</f>
        <v>1079.6172484744632</v>
      </c>
      <c r="E92" s="36">
        <f>SUM(E69/'Factors and data'!$B174)*'Factors and data'!$B$147*'Factors and data'!$C142</f>
        <v>4.3611640559962526</v>
      </c>
      <c r="F92" s="36">
        <f>SUM(F69/'Factors and data'!$B174)*'Factors and data'!$B$147*'Factors and data'!$C142</f>
        <v>71.974483231630884</v>
      </c>
      <c r="G92" s="36">
        <f>SUM(G69/'Factors and data'!$B174)*'Factors and data'!$B$147*'Factors and data'!$C142</f>
        <v>189.74078784804445</v>
      </c>
      <c r="H92" s="36">
        <f>SUM(H69/'Factors and data'!$B174)*'Factors and data'!$B$147*'Factors and data'!$C142</f>
        <v>-549.48532505873573</v>
      </c>
      <c r="I92" s="36">
        <f t="shared" si="7"/>
        <v>16955.831052318466</v>
      </c>
    </row>
    <row r="93" spans="1:11" x14ac:dyDescent="0.3">
      <c r="A93">
        <f t="shared" ref="A93" si="25">A70</f>
        <v>2038</v>
      </c>
      <c r="B93" s="36">
        <f>SUM(B70/'Factors and data'!$B175)*'Factors and data'!$B$147*'Factors and data'!$C143</f>
        <v>15224.372026737725</v>
      </c>
      <c r="C93" s="36">
        <f>SUM(C70/'Factors and data'!$B175)*'Factors and data'!$B$147*'Factors and data'!$C143</f>
        <v>33.980125400451954</v>
      </c>
      <c r="D93" s="36">
        <f>SUM(D70/'Factors and data'!$B175)*'Factors and data'!$B$147*'Factors and data'!$C143</f>
        <v>1019.4037620135588</v>
      </c>
      <c r="E93" s="36">
        <f>SUM(E70/'Factors and data'!$B175)*'Factors and data'!$B$147*'Factors and data'!$C143</f>
        <v>4.117928878704876</v>
      </c>
      <c r="F93" s="36">
        <f>SUM(F70/'Factors and data'!$B175)*'Factors and data'!$B$147*'Factors and data'!$C143</f>
        <v>67.960250800903907</v>
      </c>
      <c r="G93" s="36">
        <f>SUM(G70/'Factors and data'!$B175)*'Factors and data'!$B$147*'Factors and data'!$C143</f>
        <v>179.15837600133355</v>
      </c>
      <c r="H93" s="36">
        <f>SUM(H70/'Factors and data'!$B175)*'Factors and data'!$B$147*'Factors and data'!$C143</f>
        <v>-518.83888325017608</v>
      </c>
      <c r="I93" s="36">
        <f t="shared" si="7"/>
        <v>16010.153586582503</v>
      </c>
    </row>
    <row r="94" spans="1:11" x14ac:dyDescent="0.3">
      <c r="A94" t="str">
        <f t="shared" ref="A94" si="26">A71</f>
        <v xml:space="preserve">Total over appraisal period </v>
      </c>
      <c r="B94" s="36">
        <f>SUM(B74:B93)</f>
        <v>351848.28644256108</v>
      </c>
      <c r="C94" s="36">
        <f t="shared" ref="C94:H94" si="27">SUM(C74:C93)</f>
        <v>930.88002106275178</v>
      </c>
      <c r="D94" s="36">
        <f t="shared" si="27"/>
        <v>27926.400631882549</v>
      </c>
      <c r="E94" s="36">
        <f t="shared" si="27"/>
        <v>187.86633057726726</v>
      </c>
      <c r="F94" s="36">
        <f t="shared" si="27"/>
        <v>1861.7600421255036</v>
      </c>
      <c r="G94" s="36">
        <f t="shared" si="27"/>
        <v>5047.8308615706992</v>
      </c>
      <c r="H94" s="36">
        <f t="shared" si="27"/>
        <v>-21645.653493394144</v>
      </c>
      <c r="I94" s="37">
        <f>SUM(I74:I93)</f>
        <v>366157.37083638558</v>
      </c>
      <c r="J94" s="24" t="s">
        <v>216</v>
      </c>
      <c r="K94" s="13"/>
    </row>
    <row r="95" spans="1:11" x14ac:dyDescent="0.3">
      <c r="B95" s="36"/>
    </row>
    <row r="96" spans="1:11" x14ac:dyDescent="0.3">
      <c r="B96" s="36"/>
    </row>
    <row r="97" spans="2:2" x14ac:dyDescent="0.3">
      <c r="B97" s="36"/>
    </row>
    <row r="98" spans="2:2" x14ac:dyDescent="0.3">
      <c r="B98" s="36"/>
    </row>
    <row r="99" spans="2:2" x14ac:dyDescent="0.3">
      <c r="B99" s="36"/>
    </row>
  </sheetData>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160"/>
  <sheetViews>
    <sheetView zoomScale="70" zoomScaleNormal="70" workbookViewId="0">
      <selection activeCell="A5" sqref="A5"/>
    </sheetView>
  </sheetViews>
  <sheetFormatPr defaultRowHeight="14.4" x14ac:dyDescent="0.3"/>
  <cols>
    <col min="1" max="1" width="79.5546875" customWidth="1"/>
    <col min="2" max="2" width="13.88671875" bestFit="1" customWidth="1"/>
    <col min="3" max="4" width="15.88671875" customWidth="1"/>
    <col min="5" max="5" width="35.5546875" bestFit="1" customWidth="1"/>
    <col min="6" max="6" width="19.5546875" customWidth="1"/>
    <col min="7" max="7" width="55.5546875" customWidth="1"/>
  </cols>
  <sheetData>
    <row r="1" spans="1:5" x14ac:dyDescent="0.3">
      <c r="A1" s="1" t="s">
        <v>79</v>
      </c>
    </row>
    <row r="2" spans="1:5" x14ac:dyDescent="0.3">
      <c r="A2" s="1"/>
    </row>
    <row r="3" spans="1:5" x14ac:dyDescent="0.3">
      <c r="A3" s="1" t="s">
        <v>304</v>
      </c>
    </row>
    <row r="4" spans="1:5" ht="6.6" customHeight="1" x14ac:dyDescent="0.3"/>
    <row r="5" spans="1:5" x14ac:dyDescent="0.3">
      <c r="A5" t="s">
        <v>83</v>
      </c>
      <c r="B5" s="29">
        <f>'Factors and data'!A41</f>
        <v>379216.35434412269</v>
      </c>
      <c r="E5" t="s">
        <v>84</v>
      </c>
    </row>
    <row r="6" spans="1:5" x14ac:dyDescent="0.3">
      <c r="A6" t="s">
        <v>83</v>
      </c>
      <c r="B6" s="29">
        <f>SUM('Operating cost savings'!B5/'Factors and data'!B154)*'Factors and data'!B147</f>
        <v>338090.34071550256</v>
      </c>
      <c r="E6" t="s">
        <v>148</v>
      </c>
    </row>
    <row r="8" spans="1:5" x14ac:dyDescent="0.3">
      <c r="A8" s="16" t="s">
        <v>302</v>
      </c>
    </row>
    <row r="9" spans="1:5" x14ac:dyDescent="0.3">
      <c r="A9" s="32">
        <f>'Factors and data'!A44</f>
        <v>0.1</v>
      </c>
      <c r="B9" t="str">
        <f>'Factors and data'!B44</f>
        <v>Year 1 (2019)</v>
      </c>
      <c r="E9" t="str">
        <f>'Bus+Tram Pax value of time'!E20</f>
        <v>Resulting from progressive switch to payment via smartphones and other devices</v>
      </c>
    </row>
    <row r="10" spans="1:5" x14ac:dyDescent="0.3">
      <c r="A10" s="32">
        <f>'Factors and data'!A45</f>
        <v>0.2</v>
      </c>
      <c r="B10" t="str">
        <f>'Factors and data'!B45</f>
        <v>Year 2 (2020)</v>
      </c>
    </row>
    <row r="11" spans="1:5" x14ac:dyDescent="0.3">
      <c r="A11" s="32">
        <f>'Factors and data'!A46</f>
        <v>0.3</v>
      </c>
      <c r="B11" t="str">
        <f>'Factors and data'!B46</f>
        <v>Year 3 (2021) onwards</v>
      </c>
      <c r="E11" t="s">
        <v>303</v>
      </c>
    </row>
    <row r="13" spans="1:5" x14ac:dyDescent="0.3">
      <c r="A13" t="s">
        <v>89</v>
      </c>
    </row>
    <row r="14" spans="1:5" x14ac:dyDescent="0.3">
      <c r="A14" t="s">
        <v>90</v>
      </c>
      <c r="B14" t="s">
        <v>76</v>
      </c>
      <c r="C14" t="s">
        <v>77</v>
      </c>
      <c r="D14" t="s">
        <v>82</v>
      </c>
    </row>
    <row r="15" spans="1:5" x14ac:dyDescent="0.3">
      <c r="A15" t="s">
        <v>44</v>
      </c>
      <c r="B15" s="36">
        <f>$B$6*(A9)</f>
        <v>33809.034071550261</v>
      </c>
      <c r="C15" s="18">
        <f>SUM(B15/'Factors and data'!B156)*'Factors and data'!$B$147</f>
        <v>29089.89178477351</v>
      </c>
      <c r="D15" s="18">
        <f>C15*'Factors and data'!C124</f>
        <v>29089.89178477351</v>
      </c>
    </row>
    <row r="16" spans="1:5" x14ac:dyDescent="0.3">
      <c r="A16" t="s">
        <v>45</v>
      </c>
      <c r="B16" s="36">
        <f>$B$6*A10</f>
        <v>67618.068143100521</v>
      </c>
      <c r="C16" s="18">
        <f>SUM(B16/'Factors and data'!B157)*'Factors and data'!$B$147</f>
        <v>57083.668638227507</v>
      </c>
      <c r="D16" s="18">
        <f>C16*'Factors and data'!C125</f>
        <v>55085.740235889542</v>
      </c>
    </row>
    <row r="17" spans="1:4" x14ac:dyDescent="0.3">
      <c r="A17" t="s">
        <v>46</v>
      </c>
      <c r="B17" s="36">
        <f>$B$6*$A$11</f>
        <v>101427.10221465076</v>
      </c>
      <c r="C17" s="18">
        <f>SUM(B17/'Factors and data'!B158)*'Factors and data'!$B$147</f>
        <v>83995.082389855059</v>
      </c>
      <c r="D17" s="18">
        <f>C17*'Factors and data'!C126</f>
        <v>78218.320598492777</v>
      </c>
    </row>
    <row r="18" spans="1:4" x14ac:dyDescent="0.3">
      <c r="A18" t="s">
        <v>47</v>
      </c>
      <c r="B18" s="36">
        <f t="shared" ref="B18:B34" si="0">$B$6*$A$11</f>
        <v>101427.10221465076</v>
      </c>
      <c r="C18" s="18">
        <f>SUM(B18/'Factors and data'!B159)*'Factors and data'!$B$147</f>
        <v>82411.350511751545</v>
      </c>
      <c r="D18" s="18">
        <f>C18*'Factors and data'!C127</f>
        <v>74057.48703449512</v>
      </c>
    </row>
    <row r="19" spans="1:4" x14ac:dyDescent="0.3">
      <c r="A19" t="s">
        <v>48</v>
      </c>
      <c r="B19" s="36">
        <f t="shared" si="0"/>
        <v>101427.10221465076</v>
      </c>
      <c r="C19" s="18">
        <f>SUM(B19/'Factors and data'!B160)*'Factors and data'!$B$147</f>
        <v>80858.333047569031</v>
      </c>
      <c r="D19" s="18">
        <f>C19*'Factors and data'!C128</f>
        <v>70118.729302727355</v>
      </c>
    </row>
    <row r="20" spans="1:4" x14ac:dyDescent="0.3">
      <c r="A20" t="s">
        <v>49</v>
      </c>
      <c r="B20" s="36">
        <f t="shared" si="0"/>
        <v>101427.10221465076</v>
      </c>
      <c r="C20" s="18">
        <f>SUM(B20/'Factors and data'!B161)*'Factors and data'!$B$147</f>
        <v>79117.742707993195</v>
      </c>
      <c r="D20" s="18">
        <f>C20*'Factors and data'!C129</f>
        <v>66207.997824982303</v>
      </c>
    </row>
    <row r="21" spans="1:4" x14ac:dyDescent="0.3">
      <c r="A21" t="s">
        <v>50</v>
      </c>
      <c r="B21" s="36">
        <f t="shared" si="0"/>
        <v>101427.10221465076</v>
      </c>
      <c r="C21" s="18">
        <f>SUM(B21/'Factors and data'!B162)*'Factors and data'!$B$147</f>
        <v>77414.621045003121</v>
      </c>
      <c r="D21" s="18">
        <f>C21*'Factors and data'!C130</f>
        <v>62515.379550986218</v>
      </c>
    </row>
    <row r="22" spans="1:4" x14ac:dyDescent="0.3">
      <c r="A22" t="s">
        <v>51</v>
      </c>
      <c r="B22" s="36">
        <f t="shared" si="0"/>
        <v>101427.10221465076</v>
      </c>
      <c r="C22" s="18">
        <f>SUM(B22/'Factors and data'!B163)*'Factors and data'!$B$147</f>
        <v>75748.161492175292</v>
      </c>
      <c r="D22" s="18">
        <f>C22*'Factors and data'!C131</f>
        <v>59028.709654306964</v>
      </c>
    </row>
    <row r="23" spans="1:4" x14ac:dyDescent="0.3">
      <c r="A23" t="s">
        <v>52</v>
      </c>
      <c r="B23" s="36">
        <f t="shared" si="0"/>
        <v>101427.10221465076</v>
      </c>
      <c r="C23" s="18">
        <f>SUM(B23/'Factors and data'!B164)*'Factors and data'!$B$147</f>
        <v>74117.574845572672</v>
      </c>
      <c r="D23" s="18">
        <f>C23*'Factors and data'!C132</f>
        <v>55736.501777305486</v>
      </c>
    </row>
    <row r="24" spans="1:4" x14ac:dyDescent="0.3">
      <c r="A24" t="s">
        <v>53</v>
      </c>
      <c r="B24" s="36">
        <f t="shared" si="0"/>
        <v>101427.10221465076</v>
      </c>
      <c r="C24" s="18">
        <f>SUM(B24/'Factors and data'!B165)*'Factors and data'!$B$147</f>
        <v>72522.088889992825</v>
      </c>
      <c r="D24" s="18">
        <f>C24*'Factors and data'!C133</f>
        <v>52627.910190899987</v>
      </c>
    </row>
    <row r="25" spans="1:4" x14ac:dyDescent="0.3">
      <c r="A25" t="s">
        <v>54</v>
      </c>
      <c r="B25" s="36">
        <f t="shared" si="0"/>
        <v>101427.10221465076</v>
      </c>
      <c r="C25" s="18">
        <f>SUM(B25/'Factors and data'!B166)*'Factors and data'!$B$147</f>
        <v>70960.948033261098</v>
      </c>
      <c r="D25" s="18">
        <f>C25*'Factors and data'!C134</f>
        <v>49692.694064793053</v>
      </c>
    </row>
    <row r="26" spans="1:4" x14ac:dyDescent="0.3">
      <c r="A26" t="s">
        <v>59</v>
      </c>
      <c r="B26" s="36">
        <f t="shared" si="0"/>
        <v>101427.10221465076</v>
      </c>
      <c r="C26" s="18">
        <f>SUM(B26/'Factors and data'!B167)*'Factors and data'!$B$147</f>
        <v>69433.412948396377</v>
      </c>
      <c r="D26" s="18">
        <f>C26*'Factors and data'!C135</f>
        <v>46921.183730455276</v>
      </c>
    </row>
    <row r="27" spans="1:4" x14ac:dyDescent="0.3">
      <c r="A27" t="s">
        <v>60</v>
      </c>
      <c r="B27" s="36">
        <f t="shared" si="0"/>
        <v>101427.10221465076</v>
      </c>
      <c r="C27" s="18">
        <f>SUM(B27/'Factors and data'!B168)*'Factors and data'!$B$147</f>
        <v>67938.760223479811</v>
      </c>
      <c r="D27" s="18">
        <f>C27*'Factors and data'!C136</f>
        <v>44304.248825723422</v>
      </c>
    </row>
    <row r="28" spans="1:4" x14ac:dyDescent="0.3">
      <c r="A28" t="s">
        <v>61</v>
      </c>
      <c r="B28" s="36">
        <f t="shared" si="0"/>
        <v>101427.10221465076</v>
      </c>
      <c r="C28" s="18">
        <f>SUM(B28/'Factors and data'!B169)*'Factors and data'!$B$147</f>
        <v>66476.282019060483</v>
      </c>
      <c r="D28" s="18">
        <f>C28*'Factors and data'!C137</f>
        <v>41833.268216069577</v>
      </c>
    </row>
    <row r="29" spans="1:4" x14ac:dyDescent="0.3">
      <c r="A29" t="s">
        <v>62</v>
      </c>
      <c r="B29" s="36">
        <f t="shared" si="0"/>
        <v>101427.10221465076</v>
      </c>
      <c r="C29" s="18">
        <f>SUM(B29/'Factors and data'!B170)*'Factors and data'!$B$147</f>
        <v>65045.285732935881</v>
      </c>
      <c r="D29" s="18">
        <f>C29*'Factors and data'!C138</f>
        <v>39500.101593451203</v>
      </c>
    </row>
    <row r="30" spans="1:4" x14ac:dyDescent="0.3">
      <c r="A30" t="s">
        <v>63</v>
      </c>
      <c r="B30" s="36">
        <f t="shared" si="0"/>
        <v>101427.10221465076</v>
      </c>
      <c r="C30" s="18">
        <f>SUM(B30/'Factors and data'!B171)*'Factors and data'!$B$147</f>
        <v>63645.093672148621</v>
      </c>
      <c r="D30" s="18">
        <f>C30*'Factors and data'!C139</f>
        <v>37297.062659178489</v>
      </c>
    </row>
    <row r="31" spans="1:4" x14ac:dyDescent="0.3">
      <c r="A31" t="s">
        <v>64</v>
      </c>
      <c r="B31" s="36">
        <f t="shared" si="0"/>
        <v>101427.10221465076</v>
      </c>
      <c r="C31" s="18">
        <f>SUM(B31/'Factors and data'!B172)*'Factors and data'!$B$147</f>
        <v>62275.042732043665</v>
      </c>
      <c r="D31" s="18">
        <f>C31*'Factors and data'!C140</f>
        <v>35216.893802453269</v>
      </c>
    </row>
    <row r="32" spans="1:4" x14ac:dyDescent="0.3">
      <c r="A32" t="s">
        <v>65</v>
      </c>
      <c r="B32" s="36">
        <f t="shared" si="0"/>
        <v>101427.10221465076</v>
      </c>
      <c r="C32" s="18">
        <f>SUM(B32/'Factors and data'!B173)*'Factors and data'!$B$147</f>
        <v>60934.4840822345</v>
      </c>
      <c r="D32" s="18">
        <f>C32*'Factors and data'!C141</f>
        <v>33252.742191161837</v>
      </c>
    </row>
    <row r="33" spans="1:6" x14ac:dyDescent="0.3">
      <c r="A33" t="s">
        <v>66</v>
      </c>
      <c r="B33" s="36">
        <f t="shared" si="0"/>
        <v>101427.10221465076</v>
      </c>
      <c r="C33" s="18">
        <f>SUM(B33/'Factors and data'!B174)*'Factors and data'!$B$147</f>
        <v>59622.782859329251</v>
      </c>
      <c r="D33" s="18">
        <f>C33*'Factors and data'!C142</f>
        <v>31398.137196155742</v>
      </c>
    </row>
    <row r="34" spans="1:6" x14ac:dyDescent="0.3">
      <c r="A34" t="s">
        <v>68</v>
      </c>
      <c r="B34" s="36">
        <f t="shared" si="0"/>
        <v>101427.10221465076</v>
      </c>
      <c r="C34" s="18">
        <f>SUM(B34/'Factors and data'!B175)*'Factors and data'!$B$147</f>
        <v>58339.317866271282</v>
      </c>
      <c r="D34" s="18">
        <f>C34*'Factors and data'!C143</f>
        <v>29646.969074648034</v>
      </c>
    </row>
    <row r="35" spans="1:6" x14ac:dyDescent="0.3">
      <c r="A35" t="s">
        <v>147</v>
      </c>
      <c r="B35" s="36">
        <f>SUM(B15:B34)</f>
        <v>1927114.9420783641</v>
      </c>
      <c r="C35" s="36">
        <f t="shared" ref="C35:D35" si="1">SUM(C15:C34)</f>
        <v>1357029.925522075</v>
      </c>
      <c r="D35" s="37">
        <f t="shared" si="1"/>
        <v>991749.96930894908</v>
      </c>
      <c r="E35" s="24" t="s">
        <v>182</v>
      </c>
      <c r="F35" s="13"/>
    </row>
    <row r="38" spans="1:6" x14ac:dyDescent="0.3">
      <c r="A38" s="1" t="s">
        <v>305</v>
      </c>
    </row>
    <row r="39" spans="1:6" ht="8.4" customHeight="1" x14ac:dyDescent="0.3"/>
    <row r="40" spans="1:6" x14ac:dyDescent="0.3">
      <c r="A40" t="str">
        <f>'Bus+Tram Pax value of time'!A3</f>
        <v>Average journey time saving per cash fare</v>
      </c>
      <c r="B40">
        <f>'Bus+Tram Pax value of time'!B3</f>
        <v>2.5</v>
      </c>
      <c r="C40" t="str">
        <f>'Bus+Tram Pax value of time'!C3</f>
        <v>seconds</v>
      </c>
      <c r="D40" t="s">
        <v>23</v>
      </c>
    </row>
    <row r="41" spans="1:6" ht="5.4" customHeight="1" x14ac:dyDescent="0.3"/>
    <row r="42" spans="1:6" x14ac:dyDescent="0.3">
      <c r="A42" t="str">
        <f>'Bus+Tram Pax value of time'!A11</f>
        <v>Estimated number of cash fare transactions in Gtr Nottingham</v>
      </c>
      <c r="B42" s="3">
        <f>'Bus+Tram Pax value of time'!B11</f>
        <v>7556083</v>
      </c>
      <c r="C42" t="str">
        <f>'Bus+Tram Pax value of time'!C11</f>
        <v>in 2016/17</v>
      </c>
      <c r="D42" t="s">
        <v>29</v>
      </c>
    </row>
    <row r="43" spans="1:6" ht="5.4" customHeight="1" x14ac:dyDescent="0.3"/>
    <row r="44" spans="1:6" x14ac:dyDescent="0.3">
      <c r="A44" t="s">
        <v>279</v>
      </c>
      <c r="B44" s="118">
        <f>SUM(B40*B42)/60/60</f>
        <v>5247.2798611111111</v>
      </c>
      <c r="C44" t="s">
        <v>92</v>
      </c>
    </row>
    <row r="45" spans="1:6" ht="5.4" customHeight="1" x14ac:dyDescent="0.3"/>
    <row r="46" spans="1:6" x14ac:dyDescent="0.3">
      <c r="A46" t="s">
        <v>96</v>
      </c>
      <c r="B46" s="8">
        <f>'Factors and data'!A49</f>
        <v>16</v>
      </c>
      <c r="C46" t="s">
        <v>94</v>
      </c>
      <c r="D46" t="str">
        <f>'Factors and data'!D49</f>
        <v>Calculated for the Nottingham Better Bus Areas report</v>
      </c>
    </row>
    <row r="47" spans="1:6" ht="7.95" customHeight="1" x14ac:dyDescent="0.3"/>
    <row r="48" spans="1:6" x14ac:dyDescent="0.3">
      <c r="A48" t="s">
        <v>280</v>
      </c>
      <c r="B48" s="5">
        <f>B44*B46</f>
        <v>83956.477777777778</v>
      </c>
      <c r="C48" t="s">
        <v>97</v>
      </c>
      <c r="D48" t="s">
        <v>98</v>
      </c>
    </row>
    <row r="49" spans="1:6" ht="6" customHeight="1" x14ac:dyDescent="0.3"/>
    <row r="50" spans="1:6" x14ac:dyDescent="0.3">
      <c r="A50" t="str">
        <f>'Factors and data'!A54</f>
        <v>Average operating cost value per bus vehicle kilometre travelled</v>
      </c>
      <c r="B50" s="35">
        <f>'Factors and data'!A56</f>
        <v>1.747438</v>
      </c>
      <c r="C50" t="s">
        <v>102</v>
      </c>
      <c r="D50" t="s">
        <v>306</v>
      </c>
    </row>
    <row r="51" spans="1:6" ht="7.2" customHeight="1" x14ac:dyDescent="0.3">
      <c r="B51" s="35"/>
    </row>
    <row r="52" spans="1:6" x14ac:dyDescent="0.3">
      <c r="A52" s="16" t="s">
        <v>307</v>
      </c>
    </row>
    <row r="53" spans="1:6" x14ac:dyDescent="0.3">
      <c r="A53" s="32">
        <f t="shared" ref="A53:B55" si="2">A9</f>
        <v>0.1</v>
      </c>
      <c r="B53" t="str">
        <f t="shared" si="2"/>
        <v>Year 1 (2019)</v>
      </c>
      <c r="D53" t="str">
        <f>E9</f>
        <v>Resulting from progressive switch to payment via smartphones and other devices</v>
      </c>
    </row>
    <row r="54" spans="1:6" x14ac:dyDescent="0.3">
      <c r="A54" s="32">
        <f t="shared" si="2"/>
        <v>0.2</v>
      </c>
      <c r="B54" t="str">
        <f t="shared" si="2"/>
        <v>Year 2 (2020)</v>
      </c>
    </row>
    <row r="55" spans="1:6" x14ac:dyDescent="0.3">
      <c r="A55" s="32">
        <f t="shared" si="2"/>
        <v>0.3</v>
      </c>
      <c r="B55" t="str">
        <f t="shared" si="2"/>
        <v>Year 3 (2021) onwards</v>
      </c>
      <c r="D55" t="s">
        <v>149</v>
      </c>
    </row>
    <row r="56" spans="1:6" x14ac:dyDescent="0.3">
      <c r="B56" s="36"/>
    </row>
    <row r="57" spans="1:6" x14ac:dyDescent="0.3">
      <c r="A57" t="s">
        <v>103</v>
      </c>
    </row>
    <row r="58" spans="1:6" ht="28.8" x14ac:dyDescent="0.3">
      <c r="A58" t="s">
        <v>104</v>
      </c>
      <c r="B58" s="90" t="s">
        <v>219</v>
      </c>
      <c r="C58" s="58" t="s">
        <v>218</v>
      </c>
      <c r="D58" s="58" t="s">
        <v>449</v>
      </c>
      <c r="E58" s="58" t="s">
        <v>450</v>
      </c>
      <c r="F58" s="90" t="s">
        <v>82</v>
      </c>
    </row>
    <row r="59" spans="1:6" x14ac:dyDescent="0.3">
      <c r="A59" t="s">
        <v>44</v>
      </c>
      <c r="B59" s="5">
        <f>$B$44*A53</f>
        <v>524.72798611111114</v>
      </c>
      <c r="C59" s="5">
        <f>$B$48*A53</f>
        <v>8395.6477777777782</v>
      </c>
      <c r="D59" s="36">
        <f>SUM($B$48*A53)*$B$50</f>
        <v>14670.873961504445</v>
      </c>
      <c r="E59" s="36">
        <f>SUM(D59/'Factors and data'!B156)*'Factors and data'!$B$147</f>
        <v>12623.079826091189</v>
      </c>
      <c r="F59" s="18">
        <f>E59*'Factors and data'!C124</f>
        <v>12623.079826091189</v>
      </c>
    </row>
    <row r="60" spans="1:6" x14ac:dyDescent="0.3">
      <c r="A60" t="s">
        <v>45</v>
      </c>
      <c r="B60" s="5">
        <f t="shared" ref="B60" si="3">$B$44*A54</f>
        <v>1049.4559722222223</v>
      </c>
      <c r="C60" s="5">
        <f t="shared" ref="C60" si="4">$B$48*A54</f>
        <v>16791.295555555556</v>
      </c>
      <c r="D60" s="36">
        <f>SUM($B$48*A54)*$B$50</f>
        <v>29341.74792300889</v>
      </c>
      <c r="E60" s="36">
        <f>SUM(D60/'Factors and data'!B157)*'Factors and data'!$B$147</f>
        <v>24770.518615804958</v>
      </c>
      <c r="F60" s="18">
        <f>E60*'Factors and data'!C125</f>
        <v>23903.550464251784</v>
      </c>
    </row>
    <row r="61" spans="1:6" x14ac:dyDescent="0.3">
      <c r="A61" t="s">
        <v>46</v>
      </c>
      <c r="B61" s="5">
        <f>$B$44*$A$55</f>
        <v>1574.1839583333333</v>
      </c>
      <c r="C61" s="5">
        <f>$B$48*$A$55</f>
        <v>25186.943333333333</v>
      </c>
      <c r="D61" s="36">
        <f>SUM($B$48*$A$55)*$B$50</f>
        <v>44012.621884513333</v>
      </c>
      <c r="E61" s="36">
        <f>SUM(D61/'Factors and data'!B158)*'Factors and data'!$B$147</f>
        <v>36448.283749244692</v>
      </c>
      <c r="F61" s="18">
        <f>E61*'Factors and data'!C126</f>
        <v>33941.553034390388</v>
      </c>
    </row>
    <row r="62" spans="1:6" x14ac:dyDescent="0.3">
      <c r="A62" t="s">
        <v>47</v>
      </c>
      <c r="B62" s="5">
        <f t="shared" ref="B62:B78" si="5">$B$44*$A$55</f>
        <v>1574.1839583333333</v>
      </c>
      <c r="C62" s="5">
        <f t="shared" ref="C62:C78" si="6">$B$48*$A$55</f>
        <v>25186.943333333333</v>
      </c>
      <c r="D62" s="36">
        <f t="shared" ref="D62:D78" si="7">SUM($B$48*$A$55)*$B$50</f>
        <v>44012.621884513333</v>
      </c>
      <c r="E62" s="36">
        <f>SUM(D62/'Factors and data'!B159)*'Factors and data'!$B$147</f>
        <v>35761.049363213388</v>
      </c>
      <c r="F62" s="18">
        <f>E62*'Factors and data'!C127</f>
        <v>32136.02778149434</v>
      </c>
    </row>
    <row r="63" spans="1:6" x14ac:dyDescent="0.3">
      <c r="A63" t="s">
        <v>48</v>
      </c>
      <c r="B63" s="5">
        <f t="shared" si="5"/>
        <v>1574.1839583333333</v>
      </c>
      <c r="C63" s="5">
        <f t="shared" si="6"/>
        <v>25186.943333333333</v>
      </c>
      <c r="D63" s="36">
        <f t="shared" si="7"/>
        <v>44012.621884513333</v>
      </c>
      <c r="E63" s="36">
        <f>SUM(D63/'Factors and data'!B160)*'Factors and data'!$B$147</f>
        <v>35087.142991655455</v>
      </c>
      <c r="F63" s="18">
        <f>E63*'Factors and data'!C128</f>
        <v>30426.86868143324</v>
      </c>
    </row>
    <row r="64" spans="1:6" x14ac:dyDescent="0.3">
      <c r="A64" t="s">
        <v>49</v>
      </c>
      <c r="B64" s="5">
        <f t="shared" si="5"/>
        <v>1574.1839583333333</v>
      </c>
      <c r="C64" s="5">
        <f t="shared" si="6"/>
        <v>25186.943333333333</v>
      </c>
      <c r="D64" s="36">
        <f t="shared" si="7"/>
        <v>44012.621884513333</v>
      </c>
      <c r="E64" s="36">
        <f>SUM(D64/'Factors and data'!B161)*'Factors and data'!$B$147</f>
        <v>34331.842457588507</v>
      </c>
      <c r="F64" s="18">
        <f>E64*'Factors and data'!C129</f>
        <v>28729.871113094985</v>
      </c>
    </row>
    <row r="65" spans="1:8" x14ac:dyDescent="0.3">
      <c r="A65" t="s">
        <v>50</v>
      </c>
      <c r="B65" s="5">
        <f t="shared" si="5"/>
        <v>1574.1839583333333</v>
      </c>
      <c r="C65" s="5">
        <f t="shared" si="6"/>
        <v>25186.943333333333</v>
      </c>
      <c r="D65" s="36">
        <f t="shared" si="7"/>
        <v>44012.621884513333</v>
      </c>
      <c r="E65" s="36">
        <f>SUM(D65/'Factors and data'!B162)*'Factors and data'!$B$147</f>
        <v>33592.800839127704</v>
      </c>
      <c r="F65" s="18">
        <f>E65*'Factors and data'!C130</f>
        <v>27127.520180172862</v>
      </c>
    </row>
    <row r="66" spans="1:8" x14ac:dyDescent="0.3">
      <c r="A66" t="s">
        <v>51</v>
      </c>
      <c r="B66" s="5">
        <f t="shared" si="5"/>
        <v>1574.1839583333333</v>
      </c>
      <c r="C66" s="5">
        <f t="shared" si="6"/>
        <v>25186.943333333333</v>
      </c>
      <c r="D66" s="36">
        <f t="shared" si="7"/>
        <v>44012.621884513333</v>
      </c>
      <c r="E66" s="36">
        <f>SUM(D66/'Factors and data'!B163)*'Factors and data'!$B$147</f>
        <v>32869.668140046684</v>
      </c>
      <c r="F66" s="18">
        <f>E66*'Factors and data'!C131</f>
        <v>25614.537156425453</v>
      </c>
    </row>
    <row r="67" spans="1:8" x14ac:dyDescent="0.3">
      <c r="A67" t="s">
        <v>52</v>
      </c>
      <c r="B67" s="5">
        <f t="shared" si="5"/>
        <v>1574.1839583333333</v>
      </c>
      <c r="C67" s="5">
        <f t="shared" si="6"/>
        <v>25186.943333333333</v>
      </c>
      <c r="D67" s="36">
        <f t="shared" si="7"/>
        <v>44012.621884513333</v>
      </c>
      <c r="E67" s="36">
        <f>SUM(D67/'Factors and data'!B164)*'Factors and data'!$B$147</f>
        <v>32162.101898284418</v>
      </c>
      <c r="F67" s="18">
        <f>E67*'Factors and data'!C132</f>
        <v>24185.937725979016</v>
      </c>
    </row>
    <row r="68" spans="1:8" x14ac:dyDescent="0.3">
      <c r="A68" t="s">
        <v>53</v>
      </c>
      <c r="B68" s="5">
        <f t="shared" si="5"/>
        <v>1574.1839583333333</v>
      </c>
      <c r="C68" s="5">
        <f t="shared" si="6"/>
        <v>25186.943333333333</v>
      </c>
      <c r="D68" s="36">
        <f t="shared" si="7"/>
        <v>44012.621884513333</v>
      </c>
      <c r="E68" s="36">
        <f>SUM(D68/'Factors and data'!B165)*'Factors and data'!$B$147</f>
        <v>31469.767023761658</v>
      </c>
      <c r="F68" s="18">
        <f>E68*'Factors and data'!C133</f>
        <v>22837.015563179793</v>
      </c>
    </row>
    <row r="69" spans="1:8" x14ac:dyDescent="0.3">
      <c r="A69" t="s">
        <v>54</v>
      </c>
      <c r="B69" s="5">
        <f t="shared" si="5"/>
        <v>1574.1839583333333</v>
      </c>
      <c r="C69" s="5">
        <f t="shared" si="6"/>
        <v>25186.943333333333</v>
      </c>
      <c r="D69" s="36">
        <f t="shared" si="7"/>
        <v>44012.621884513333</v>
      </c>
      <c r="E69" s="36">
        <f>SUM(D69/'Factors and data'!B166)*'Factors and data'!$B$147</f>
        <v>30792.335639688514</v>
      </c>
      <c r="F69" s="18">
        <f>E69*'Factors and data'!C134</f>
        <v>21563.326828247067</v>
      </c>
    </row>
    <row r="70" spans="1:8" x14ac:dyDescent="0.3">
      <c r="A70" t="s">
        <v>59</v>
      </c>
      <c r="B70" s="5">
        <f t="shared" si="5"/>
        <v>1574.1839583333333</v>
      </c>
      <c r="C70" s="5">
        <f t="shared" si="6"/>
        <v>25186.943333333333</v>
      </c>
      <c r="D70" s="36">
        <f t="shared" si="7"/>
        <v>44012.621884513333</v>
      </c>
      <c r="E70" s="36">
        <f>SUM(D70/'Factors and data'!B167)*'Factors and data'!$B$147</f>
        <v>30129.486927288177</v>
      </c>
      <c r="F70" s="18">
        <f>E70*'Factors and data'!C135</f>
        <v>20360.675527650121</v>
      </c>
    </row>
    <row r="71" spans="1:8" x14ac:dyDescent="0.3">
      <c r="A71" t="s">
        <v>60</v>
      </c>
      <c r="B71" s="5">
        <f t="shared" si="5"/>
        <v>1574.1839583333333</v>
      </c>
      <c r="C71" s="5">
        <f t="shared" si="6"/>
        <v>25186.943333333333</v>
      </c>
      <c r="D71" s="36">
        <f t="shared" si="7"/>
        <v>44012.621884513333</v>
      </c>
      <c r="E71" s="36">
        <f>SUM(D71/'Factors and data'!B168)*'Factors and data'!$B$147</f>
        <v>29480.906973863188</v>
      </c>
      <c r="F71" s="18">
        <f>E71*'Factors and data'!C136</f>
        <v>19225.099690980791</v>
      </c>
    </row>
    <row r="72" spans="1:8" x14ac:dyDescent="0.3">
      <c r="A72" t="s">
        <v>61</v>
      </c>
      <c r="B72" s="5">
        <f t="shared" si="5"/>
        <v>1574.1839583333333</v>
      </c>
      <c r="C72" s="5">
        <f t="shared" si="6"/>
        <v>25186.943333333333</v>
      </c>
      <c r="D72" s="36">
        <f t="shared" si="7"/>
        <v>44012.621884513333</v>
      </c>
      <c r="E72" s="36">
        <f>SUM(D72/'Factors and data'!B169)*'Factors and data'!$B$147</f>
        <v>28846.288624132274</v>
      </c>
      <c r="F72" s="18">
        <f>E72*'Factors and data'!C137</f>
        <v>18152.85831878323</v>
      </c>
    </row>
    <row r="73" spans="1:8" x14ac:dyDescent="0.3">
      <c r="A73" t="s">
        <v>62</v>
      </c>
      <c r="B73" s="5">
        <f t="shared" si="5"/>
        <v>1574.1839583333333</v>
      </c>
      <c r="C73" s="5">
        <f t="shared" si="6"/>
        <v>25186.943333333333</v>
      </c>
      <c r="D73" s="36">
        <f t="shared" si="7"/>
        <v>44012.621884513333</v>
      </c>
      <c r="E73" s="36">
        <f>SUM(D73/'Factors and data'!B170)*'Factors and data'!$B$147</f>
        <v>28225.33133476739</v>
      </c>
      <c r="F73" s="18">
        <f>E73*'Factors and data'!C138</f>
        <v>17140.419058342282</v>
      </c>
    </row>
    <row r="74" spans="1:8" x14ac:dyDescent="0.3">
      <c r="A74" t="s">
        <v>63</v>
      </c>
      <c r="B74" s="5">
        <f t="shared" si="5"/>
        <v>1574.1839583333333</v>
      </c>
      <c r="C74" s="5">
        <f t="shared" si="6"/>
        <v>25186.943333333333</v>
      </c>
      <c r="D74" s="36">
        <f t="shared" si="7"/>
        <v>44012.621884513333</v>
      </c>
      <c r="E74" s="36">
        <f>SUM(D74/'Factors and data'!B171)*'Factors and data'!$B$147</f>
        <v>27617.741032062026</v>
      </c>
      <c r="F74" s="18">
        <f>E74*'Factors and data'!C139</f>
        <v>16184.44656683004</v>
      </c>
    </row>
    <row r="75" spans="1:8" x14ac:dyDescent="0.3">
      <c r="A75" t="s">
        <v>64</v>
      </c>
      <c r="B75" s="5">
        <f t="shared" si="5"/>
        <v>1574.1839583333333</v>
      </c>
      <c r="C75" s="5">
        <f t="shared" si="6"/>
        <v>25186.943333333333</v>
      </c>
      <c r="D75" s="36">
        <f t="shared" si="7"/>
        <v>44012.621884513333</v>
      </c>
      <c r="E75" s="36">
        <f>SUM(D75/'Factors and data'!B172)*'Factors and data'!$B$147</f>
        <v>27023.229972663434</v>
      </c>
      <c r="F75" s="18">
        <f>E75*'Factors and data'!C140</f>
        <v>15281.791523474551</v>
      </c>
    </row>
    <row r="76" spans="1:8" x14ac:dyDescent="0.3">
      <c r="A76" t="s">
        <v>65</v>
      </c>
      <c r="B76" s="5">
        <f t="shared" si="5"/>
        <v>1574.1839583333333</v>
      </c>
      <c r="C76" s="5">
        <f t="shared" si="6"/>
        <v>25186.943333333333</v>
      </c>
      <c r="D76" s="36">
        <f t="shared" si="7"/>
        <v>44012.621884513333</v>
      </c>
      <c r="E76" s="36">
        <f>SUM(D76/'Factors and data'!B173)*'Factors and data'!$B$147</f>
        <v>26441.516607302772</v>
      </c>
      <c r="F76" s="18">
        <f>E76*'Factors and data'!C141</f>
        <v>14429.480254552778</v>
      </c>
    </row>
    <row r="77" spans="1:8" x14ac:dyDescent="0.3">
      <c r="A77" t="s">
        <v>66</v>
      </c>
      <c r="B77" s="5">
        <f t="shared" si="5"/>
        <v>1574.1839583333333</v>
      </c>
      <c r="C77" s="5">
        <f t="shared" si="6"/>
        <v>25186.943333333333</v>
      </c>
      <c r="D77" s="36">
        <f t="shared" si="7"/>
        <v>44012.621884513333</v>
      </c>
      <c r="E77" s="36">
        <f>SUM(D77/'Factors and data'!B174)*'Factors and data'!$B$147</f>
        <v>25872.325447458679</v>
      </c>
      <c r="F77" s="18">
        <f>E77*'Factors and data'!C142</f>
        <v>13624.704937028797</v>
      </c>
    </row>
    <row r="78" spans="1:8" x14ac:dyDescent="0.3">
      <c r="A78" t="s">
        <v>68</v>
      </c>
      <c r="B78" s="5">
        <f t="shared" si="5"/>
        <v>1574.1839583333333</v>
      </c>
      <c r="C78" s="5">
        <f t="shared" si="6"/>
        <v>25186.943333333333</v>
      </c>
      <c r="D78" s="36">
        <f t="shared" si="7"/>
        <v>44012.621884513333</v>
      </c>
      <c r="E78" s="36">
        <f>SUM(D78/'Factors and data'!B175)*'Factors and data'!$B$147</f>
        <v>25315.38693489107</v>
      </c>
      <c r="F78" s="18">
        <f>E78*'Factors and data'!C143</f>
        <v>12864.814348564369</v>
      </c>
    </row>
    <row r="79" spans="1:8" x14ac:dyDescent="0.3">
      <c r="A79" t="s">
        <v>75</v>
      </c>
      <c r="B79" s="5">
        <f>SUM(B59:B78)</f>
        <v>29909.495208333345</v>
      </c>
      <c r="C79" s="5">
        <f>SUM(C59:C78)</f>
        <v>478551.92333333351</v>
      </c>
      <c r="D79" s="36">
        <f>SUM(D59:D78)</f>
        <v>836239.81580575323</v>
      </c>
      <c r="E79" s="36">
        <f t="shared" ref="E79" si="8">SUM(E59:E78)</f>
        <v>588860.80439893622</v>
      </c>
      <c r="F79" s="37">
        <f t="shared" ref="F79" si="9">SUM(F59:F78)</f>
        <v>430353.57858096715</v>
      </c>
      <c r="G79" s="24" t="s">
        <v>181</v>
      </c>
      <c r="H79" s="13"/>
    </row>
    <row r="80" spans="1:8" x14ac:dyDescent="0.3">
      <c r="B80" s="36"/>
    </row>
    <row r="81" spans="2:2" x14ac:dyDescent="0.3">
      <c r="B81" s="36"/>
    </row>
    <row r="82" spans="2:2" x14ac:dyDescent="0.3">
      <c r="B82" s="36"/>
    </row>
    <row r="83" spans="2:2" x14ac:dyDescent="0.3">
      <c r="B83" s="36"/>
    </row>
    <row r="84" spans="2:2" x14ac:dyDescent="0.3">
      <c r="B84" s="36"/>
    </row>
    <row r="85" spans="2:2" x14ac:dyDescent="0.3">
      <c r="B85" s="36"/>
    </row>
    <row r="86" spans="2:2" x14ac:dyDescent="0.3">
      <c r="B86" s="36"/>
    </row>
    <row r="87" spans="2:2" x14ac:dyDescent="0.3">
      <c r="B87" s="36"/>
    </row>
    <row r="88" spans="2:2" x14ac:dyDescent="0.3">
      <c r="B88" s="36"/>
    </row>
    <row r="89" spans="2:2" x14ac:dyDescent="0.3">
      <c r="B89" s="36"/>
    </row>
    <row r="90" spans="2:2" x14ac:dyDescent="0.3">
      <c r="B90" s="36"/>
    </row>
    <row r="91" spans="2:2" x14ac:dyDescent="0.3">
      <c r="B91" s="36"/>
    </row>
    <row r="92" spans="2:2" x14ac:dyDescent="0.3">
      <c r="B92" s="36"/>
    </row>
    <row r="93" spans="2:2" x14ac:dyDescent="0.3">
      <c r="B93" s="36"/>
    </row>
    <row r="94" spans="2:2" x14ac:dyDescent="0.3">
      <c r="B94" s="36"/>
    </row>
    <row r="95" spans="2:2" x14ac:dyDescent="0.3">
      <c r="B95" s="36"/>
    </row>
    <row r="96" spans="2:2" x14ac:dyDescent="0.3">
      <c r="B96" s="36"/>
    </row>
    <row r="97" spans="2:2" x14ac:dyDescent="0.3">
      <c r="B97" s="36"/>
    </row>
    <row r="98" spans="2:2" x14ac:dyDescent="0.3">
      <c r="B98" s="36"/>
    </row>
    <row r="99" spans="2:2" x14ac:dyDescent="0.3">
      <c r="B99" s="36"/>
    </row>
    <row r="100" spans="2:2" x14ac:dyDescent="0.3">
      <c r="B100" s="36"/>
    </row>
    <row r="101" spans="2:2" x14ac:dyDescent="0.3">
      <c r="B101" s="36"/>
    </row>
    <row r="102" spans="2:2" x14ac:dyDescent="0.3">
      <c r="B102" s="36"/>
    </row>
    <row r="103" spans="2:2" x14ac:dyDescent="0.3">
      <c r="B103" s="36"/>
    </row>
    <row r="104" spans="2:2" x14ac:dyDescent="0.3">
      <c r="B104" s="36"/>
    </row>
    <row r="105" spans="2:2" x14ac:dyDescent="0.3">
      <c r="B105" s="36"/>
    </row>
    <row r="106" spans="2:2" x14ac:dyDescent="0.3">
      <c r="B106" s="36"/>
    </row>
    <row r="107" spans="2:2" x14ac:dyDescent="0.3">
      <c r="B107" s="36"/>
    </row>
    <row r="108" spans="2:2" x14ac:dyDescent="0.3">
      <c r="B108" s="36"/>
    </row>
    <row r="109" spans="2:2" x14ac:dyDescent="0.3">
      <c r="B109" s="36"/>
    </row>
    <row r="110" spans="2:2" x14ac:dyDescent="0.3">
      <c r="B110" s="36"/>
    </row>
    <row r="111" spans="2:2" x14ac:dyDescent="0.3">
      <c r="B111" s="36"/>
    </row>
    <row r="112" spans="2:2" x14ac:dyDescent="0.3">
      <c r="B112" s="36"/>
    </row>
    <row r="113" spans="2:2" x14ac:dyDescent="0.3">
      <c r="B113" s="36"/>
    </row>
    <row r="114" spans="2:2" x14ac:dyDescent="0.3">
      <c r="B114" s="36"/>
    </row>
    <row r="115" spans="2:2" x14ac:dyDescent="0.3">
      <c r="B115" s="36"/>
    </row>
    <row r="116" spans="2:2" x14ac:dyDescent="0.3">
      <c r="B116" s="36"/>
    </row>
    <row r="117" spans="2:2" x14ac:dyDescent="0.3">
      <c r="B117" s="36"/>
    </row>
    <row r="118" spans="2:2" x14ac:dyDescent="0.3">
      <c r="B118" s="36"/>
    </row>
    <row r="119" spans="2:2" x14ac:dyDescent="0.3">
      <c r="B119" s="36"/>
    </row>
    <row r="120" spans="2:2" x14ac:dyDescent="0.3">
      <c r="B120" s="36"/>
    </row>
    <row r="121" spans="2:2" x14ac:dyDescent="0.3">
      <c r="B121" s="36"/>
    </row>
    <row r="122" spans="2:2" x14ac:dyDescent="0.3">
      <c r="B122" s="36"/>
    </row>
    <row r="123" spans="2:2" x14ac:dyDescent="0.3">
      <c r="B123" s="36"/>
    </row>
    <row r="124" spans="2:2" x14ac:dyDescent="0.3">
      <c r="B124" s="36"/>
    </row>
    <row r="125" spans="2:2" x14ac:dyDescent="0.3">
      <c r="B125" s="36"/>
    </row>
    <row r="126" spans="2:2" x14ac:dyDescent="0.3">
      <c r="B126" s="36"/>
    </row>
    <row r="127" spans="2:2" x14ac:dyDescent="0.3">
      <c r="B127" s="36"/>
    </row>
    <row r="128" spans="2:2" x14ac:dyDescent="0.3">
      <c r="B128" s="36"/>
    </row>
    <row r="129" spans="2:2" x14ac:dyDescent="0.3">
      <c r="B129" s="36"/>
    </row>
    <row r="130" spans="2:2" x14ac:dyDescent="0.3">
      <c r="B130" s="36"/>
    </row>
    <row r="131" spans="2:2" x14ac:dyDescent="0.3">
      <c r="B131" s="36"/>
    </row>
    <row r="132" spans="2:2" x14ac:dyDescent="0.3">
      <c r="B132" s="36"/>
    </row>
    <row r="133" spans="2:2" x14ac:dyDescent="0.3">
      <c r="B133" s="36"/>
    </row>
    <row r="134" spans="2:2" x14ac:dyDescent="0.3">
      <c r="B134" s="36"/>
    </row>
    <row r="135" spans="2:2" x14ac:dyDescent="0.3">
      <c r="B135" s="36"/>
    </row>
    <row r="136" spans="2:2" x14ac:dyDescent="0.3">
      <c r="B136" s="36"/>
    </row>
    <row r="137" spans="2:2" x14ac:dyDescent="0.3">
      <c r="B137" s="36"/>
    </row>
    <row r="138" spans="2:2" x14ac:dyDescent="0.3">
      <c r="B138" s="36"/>
    </row>
    <row r="139" spans="2:2" x14ac:dyDescent="0.3">
      <c r="B139" s="36"/>
    </row>
    <row r="140" spans="2:2" x14ac:dyDescent="0.3">
      <c r="B140" s="36"/>
    </row>
    <row r="141" spans="2:2" x14ac:dyDescent="0.3">
      <c r="B141" s="36"/>
    </row>
    <row r="142" spans="2:2" x14ac:dyDescent="0.3">
      <c r="B142" s="36"/>
    </row>
    <row r="143" spans="2:2" x14ac:dyDescent="0.3">
      <c r="B143" s="36"/>
    </row>
    <row r="144" spans="2:2" x14ac:dyDescent="0.3">
      <c r="B144" s="36"/>
    </row>
    <row r="145" spans="1:2" x14ac:dyDescent="0.3">
      <c r="B145" s="36"/>
    </row>
    <row r="146" spans="1:2" x14ac:dyDescent="0.3">
      <c r="B146" s="36"/>
    </row>
    <row r="147" spans="1:2" x14ac:dyDescent="0.3">
      <c r="B147" s="36"/>
    </row>
    <row r="148" spans="1:2" x14ac:dyDescent="0.3">
      <c r="B148" s="36"/>
    </row>
    <row r="149" spans="1:2" x14ac:dyDescent="0.3">
      <c r="B149" s="36"/>
    </row>
    <row r="150" spans="1:2" x14ac:dyDescent="0.3">
      <c r="B150" s="36"/>
    </row>
    <row r="151" spans="1:2" x14ac:dyDescent="0.3">
      <c r="B151" s="36"/>
    </row>
    <row r="152" spans="1:2" x14ac:dyDescent="0.3">
      <c r="B152" s="36"/>
    </row>
    <row r="153" spans="1:2" x14ac:dyDescent="0.3">
      <c r="B153" s="36"/>
    </row>
    <row r="154" spans="1:2" x14ac:dyDescent="0.3">
      <c r="B154" s="36"/>
    </row>
    <row r="155" spans="1:2" x14ac:dyDescent="0.3">
      <c r="B155" s="36"/>
    </row>
    <row r="156" spans="1:2" x14ac:dyDescent="0.3">
      <c r="B156" s="36"/>
    </row>
    <row r="157" spans="1:2" x14ac:dyDescent="0.3">
      <c r="B157" s="36"/>
    </row>
    <row r="158" spans="1:2" x14ac:dyDescent="0.3">
      <c r="A158" s="33" t="s">
        <v>87</v>
      </c>
    </row>
    <row r="159" spans="1:2" x14ac:dyDescent="0.3">
      <c r="A159" s="33"/>
    </row>
    <row r="160" spans="1:2" ht="57.6" x14ac:dyDescent="0.3">
      <c r="A160" s="34"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O86"/>
  <sheetViews>
    <sheetView topLeftCell="A43" zoomScale="85" zoomScaleNormal="85" workbookViewId="0">
      <selection activeCell="A20" sqref="A20"/>
    </sheetView>
  </sheetViews>
  <sheetFormatPr defaultRowHeight="14.4" x14ac:dyDescent="0.3"/>
  <cols>
    <col min="1" max="1" width="60.33203125" customWidth="1"/>
    <col min="2" max="2" width="15.33203125" bestFit="1" customWidth="1"/>
    <col min="3" max="3" width="18.5546875" bestFit="1" customWidth="1"/>
    <col min="4" max="4" width="12.33203125" customWidth="1"/>
    <col min="5" max="5" width="12.6640625" customWidth="1"/>
    <col min="8" max="8" width="14.33203125" customWidth="1"/>
    <col min="9" max="9" width="12.77734375" bestFit="1" customWidth="1"/>
    <col min="10" max="10" width="13.88671875" bestFit="1" customWidth="1"/>
  </cols>
  <sheetData>
    <row r="1" spans="1:5" x14ac:dyDescent="0.3">
      <c r="A1" s="1" t="s">
        <v>327</v>
      </c>
    </row>
    <row r="2" spans="1:5" ht="10.5" customHeight="1" x14ac:dyDescent="0.3"/>
    <row r="3" spans="1:5" x14ac:dyDescent="0.3">
      <c r="A3" t="s">
        <v>21</v>
      </c>
      <c r="B3">
        <f>'Factors and data'!A29</f>
        <v>2.5</v>
      </c>
      <c r="C3" t="s">
        <v>22</v>
      </c>
      <c r="E3" t="s">
        <v>23</v>
      </c>
    </row>
    <row r="4" spans="1:5" ht="6.75" customHeight="1" x14ac:dyDescent="0.3">
      <c r="A4" s="1"/>
      <c r="B4" s="2"/>
      <c r="C4" s="2"/>
      <c r="D4" s="2"/>
    </row>
    <row r="5" spans="1:5" x14ac:dyDescent="0.3">
      <c r="A5" t="s">
        <v>24</v>
      </c>
      <c r="B5">
        <f>'Factors and data'!A37</f>
        <v>10.7</v>
      </c>
      <c r="C5" t="s">
        <v>25</v>
      </c>
      <c r="E5" t="s">
        <v>26</v>
      </c>
    </row>
    <row r="6" spans="1:5" x14ac:dyDescent="0.3">
      <c r="A6" t="s">
        <v>308</v>
      </c>
      <c r="B6">
        <v>38</v>
      </c>
      <c r="C6" t="s">
        <v>309</v>
      </c>
      <c r="E6" t="s">
        <v>310</v>
      </c>
    </row>
    <row r="7" spans="1:5" ht="5.25" customHeight="1" x14ac:dyDescent="0.3"/>
    <row r="8" spans="1:5" x14ac:dyDescent="0.3">
      <c r="A8" t="s">
        <v>313</v>
      </c>
      <c r="B8" s="8">
        <f>B5*B3</f>
        <v>26.75</v>
      </c>
      <c r="C8" t="s">
        <v>22</v>
      </c>
      <c r="E8" t="s">
        <v>30</v>
      </c>
    </row>
    <row r="9" spans="1:5" x14ac:dyDescent="0.3">
      <c r="A9" t="s">
        <v>314</v>
      </c>
      <c r="B9">
        <f>B3*B6</f>
        <v>95</v>
      </c>
      <c r="C9" t="s">
        <v>22</v>
      </c>
      <c r="E9" t="s">
        <v>315</v>
      </c>
    </row>
    <row r="10" spans="1:5" ht="6.75" customHeight="1" x14ac:dyDescent="0.3"/>
    <row r="11" spans="1:5" x14ac:dyDescent="0.3">
      <c r="A11" t="s">
        <v>226</v>
      </c>
      <c r="B11" s="3">
        <f>'Factors and data'!B21</f>
        <v>7556083</v>
      </c>
      <c r="C11" t="s">
        <v>39</v>
      </c>
      <c r="E11" t="s">
        <v>29</v>
      </c>
    </row>
    <row r="12" spans="1:5" x14ac:dyDescent="0.3">
      <c r="A12" t="s">
        <v>316</v>
      </c>
      <c r="B12" s="3">
        <f>B11*('Factors and data'!B3+'Factors and data'!B5)</f>
        <v>5606613.5860000001</v>
      </c>
      <c r="C12" t="s">
        <v>39</v>
      </c>
      <c r="E12" t="s">
        <v>317</v>
      </c>
    </row>
    <row r="13" spans="1:5" x14ac:dyDescent="0.3">
      <c r="A13" t="s">
        <v>318</v>
      </c>
      <c r="B13" s="3">
        <f>B11*'Factors and data'!B4</f>
        <v>1949469.4140000001</v>
      </c>
      <c r="C13" t="s">
        <v>39</v>
      </c>
      <c r="E13" t="s">
        <v>319</v>
      </c>
    </row>
    <row r="14" spans="1:5" ht="6.6" customHeight="1" x14ac:dyDescent="0.3">
      <c r="B14" s="3"/>
    </row>
    <row r="15" spans="1:5" ht="15" customHeight="1" x14ac:dyDescent="0.3">
      <c r="A15" t="s">
        <v>320</v>
      </c>
      <c r="B15" s="14">
        <f>SUM(B12*B8)/60/60</f>
        <v>41660.253729305557</v>
      </c>
      <c r="C15" t="s">
        <v>78</v>
      </c>
      <c r="E15" t="s">
        <v>322</v>
      </c>
    </row>
    <row r="16" spans="1:5" x14ac:dyDescent="0.3">
      <c r="A16" t="s">
        <v>321</v>
      </c>
      <c r="B16" s="14">
        <f>SUM(B13*B9)/60/60</f>
        <v>51444.331758333341</v>
      </c>
      <c r="C16" t="s">
        <v>78</v>
      </c>
      <c r="E16" t="s">
        <v>323</v>
      </c>
    </row>
    <row r="17" spans="1:11" x14ac:dyDescent="0.3">
      <c r="A17" t="s">
        <v>325</v>
      </c>
      <c r="B17" s="14">
        <f>B15+B16</f>
        <v>93104.585487638891</v>
      </c>
      <c r="C17" t="s">
        <v>78</v>
      </c>
      <c r="E17" t="s">
        <v>326</v>
      </c>
    </row>
    <row r="18" spans="1:11" ht="5.25" customHeight="1" x14ac:dyDescent="0.3"/>
    <row r="19" spans="1:11" x14ac:dyDescent="0.3">
      <c r="A19" t="str">
        <f>'Factors and data'!A43</f>
        <v>Estimated rate of conversion to off-bus ticket purchase/ RH PAYG TVM purchasing / Smartphone purchase</v>
      </c>
    </row>
    <row r="20" spans="1:11" x14ac:dyDescent="0.3">
      <c r="A20" s="32">
        <f>'Factors and data'!A44</f>
        <v>0.1</v>
      </c>
      <c r="B20" s="32" t="str">
        <f>'Factors and data'!B44</f>
        <v>Year 1 (2019)</v>
      </c>
      <c r="C20" s="32"/>
      <c r="E20" s="32" t="str">
        <f>'Factors and data'!D44</f>
        <v>Resulting from progressive switch to payment via smartphones and other devices</v>
      </c>
    </row>
    <row r="21" spans="1:11" x14ac:dyDescent="0.3">
      <c r="A21" s="32">
        <f>'Factors and data'!A45</f>
        <v>0.2</v>
      </c>
      <c r="B21" s="32" t="str">
        <f>'Factors and data'!B45</f>
        <v>Year 2 (2020)</v>
      </c>
      <c r="C21" s="32"/>
      <c r="E21" s="32"/>
    </row>
    <row r="22" spans="1:11" ht="15" customHeight="1" x14ac:dyDescent="0.3">
      <c r="A22" s="32">
        <f>'Factors and data'!A46</f>
        <v>0.3</v>
      </c>
      <c r="B22" s="32" t="str">
        <f>'Factors and data'!B46</f>
        <v>Year 3 (2021) onwards</v>
      </c>
      <c r="C22" s="32"/>
      <c r="E22" t="str">
        <f>'Factors and data'!D46</f>
        <v>Assumes cashless bus/tram network enables cash fare purchase off-bus, maximising dwell-time savings to operators and passengers</v>
      </c>
    </row>
    <row r="23" spans="1:11" x14ac:dyDescent="0.3">
      <c r="I23" t="s">
        <v>684</v>
      </c>
    </row>
    <row r="24" spans="1:11" x14ac:dyDescent="0.3">
      <c r="A24" t="s">
        <v>85</v>
      </c>
      <c r="H24" t="s">
        <v>155</v>
      </c>
      <c r="I24" s="107">
        <f>(J24*B8)/60/60</f>
        <v>366.38195745498854</v>
      </c>
      <c r="J24" s="107">
        <f>(B12*$A$22*B5)/365</f>
        <v>49307.478386465744</v>
      </c>
      <c r="K24" t="s">
        <v>683</v>
      </c>
    </row>
    <row r="25" spans="1:11" x14ac:dyDescent="0.3">
      <c r="A25" t="s">
        <v>324</v>
      </c>
      <c r="B25" t="s">
        <v>205</v>
      </c>
      <c r="C25" t="s">
        <v>76</v>
      </c>
      <c r="D25" t="s">
        <v>77</v>
      </c>
      <c r="E25" t="s">
        <v>82</v>
      </c>
      <c r="H25" t="s">
        <v>536</v>
      </c>
      <c r="I25" s="118">
        <f>J25*B9/60/60</f>
        <v>1606.7544713561645</v>
      </c>
      <c r="J25" s="107">
        <f>B13*$A$22*B6/365</f>
        <v>60887.537861917808</v>
      </c>
      <c r="K25" t="s">
        <v>682</v>
      </c>
    </row>
    <row r="26" spans="1:11" x14ac:dyDescent="0.3">
      <c r="A26" t="s">
        <v>44</v>
      </c>
      <c r="B26" s="5">
        <f>$B$17*A20</f>
        <v>9310.4585487638888</v>
      </c>
      <c r="C26" s="17">
        <f>B26*'Factors and data'!A73</f>
        <v>86973.980842226985</v>
      </c>
      <c r="D26" s="18">
        <f>SUM('Bus+Tram Pax value of time'!C26/'Factors and data'!B156)*'Factors and data'!$B$147</f>
        <v>74833.953712991584</v>
      </c>
      <c r="E26" s="18">
        <f>D26*'Factors and data'!C124</f>
        <v>74833.953712991584</v>
      </c>
      <c r="H26" s="28"/>
      <c r="I26" s="107">
        <f>SUM(I24:I25)</f>
        <v>1973.1364288111531</v>
      </c>
    </row>
    <row r="27" spans="1:11" x14ac:dyDescent="0.3">
      <c r="A27" t="s">
        <v>45</v>
      </c>
      <c r="B27" s="5">
        <f>$B$17*A21</f>
        <v>18620.917097527778</v>
      </c>
      <c r="C27" s="17">
        <f>B27*'Factors and data'!A74</f>
        <v>175419.9005845825</v>
      </c>
      <c r="D27" s="18">
        <f>SUM('Bus+Tram Pax value of time'!C27/'Factors and data'!B157)*'Factors and data'!$B$147</f>
        <v>148090.76556770675</v>
      </c>
      <c r="E27" s="18">
        <f>D27*'Factors and data'!C125</f>
        <v>142907.58877283701</v>
      </c>
    </row>
    <row r="28" spans="1:11" x14ac:dyDescent="0.3">
      <c r="A28" t="s">
        <v>46</v>
      </c>
      <c r="B28" s="5">
        <f>$B$17*$A$22</f>
        <v>27931.375646291668</v>
      </c>
      <c r="C28" s="17">
        <f>B28*'Factors and data'!A75</f>
        <v>265511.3153386332</v>
      </c>
      <c r="D28" s="18">
        <f>SUM('Bus+Tram Pax value of time'!C28/'Factors and data'!B158)*'Factors and data'!$B$147</f>
        <v>219878.55632619953</v>
      </c>
      <c r="E28" s="18">
        <f>D28*'Factors and data'!C126</f>
        <v>204756.40861486515</v>
      </c>
      <c r="I28" s="118"/>
      <c r="J28" s="118" t="e">
        <f>J24/I28</f>
        <v>#DIV/0!</v>
      </c>
    </row>
    <row r="29" spans="1:11" x14ac:dyDescent="0.3">
      <c r="A29" t="s">
        <v>47</v>
      </c>
      <c r="B29" s="107">
        <f t="shared" ref="B29:B45" si="0">$B$17*$A$22</f>
        <v>27931.375646291668</v>
      </c>
      <c r="C29" s="17">
        <f>B29*'Factors and data'!A76</f>
        <v>268101.43815716082</v>
      </c>
      <c r="D29" s="18">
        <f>SUM('Bus+Tram Pax value of time'!C29/'Factors and data'!B159)*'Factors and data'!$B$147</f>
        <v>217837.25562735225</v>
      </c>
      <c r="E29" s="18">
        <f>D29*'Factors and data'!C127</f>
        <v>195755.55592857575</v>
      </c>
    </row>
    <row r="30" spans="1:11" x14ac:dyDescent="0.3">
      <c r="A30" t="s">
        <v>48</v>
      </c>
      <c r="B30" s="107">
        <f>$B$17*$A$22</f>
        <v>27931.375646291668</v>
      </c>
      <c r="C30" s="17">
        <f>B30*'Factors and data'!A77</f>
        <v>270993.1915289755</v>
      </c>
      <c r="D30" s="18">
        <f>SUM('Bus+Tram Pax value of time'!C30/'Factors and data'!B160)*'Factors and data'!$B$147</f>
        <v>216037.50137612087</v>
      </c>
      <c r="E30" s="18">
        <f>D30*'Factors and data'!C128</f>
        <v>187343.4005783679</v>
      </c>
    </row>
    <row r="31" spans="1:11" x14ac:dyDescent="0.3">
      <c r="A31" t="s">
        <v>49</v>
      </c>
      <c r="B31" s="107">
        <f t="shared" si="0"/>
        <v>27931.375646291668</v>
      </c>
      <c r="C31" s="17">
        <f>B31*'Factors and data'!A78</f>
        <v>274446.40110940812</v>
      </c>
      <c r="D31" s="18">
        <f>SUM('Bus+Tram Pax value of time'!C31/'Factors and data'!B161)*'Factors and data'!$B$147</f>
        <v>214080.64783470077</v>
      </c>
      <c r="E31" s="18">
        <f>D31*'Factors and data'!C129</f>
        <v>179148.83035178782</v>
      </c>
    </row>
    <row r="32" spans="1:11" x14ac:dyDescent="0.3">
      <c r="A32" t="s">
        <v>50</v>
      </c>
      <c r="B32" s="107">
        <f t="shared" si="0"/>
        <v>27931.375646291668</v>
      </c>
      <c r="C32" s="17">
        <f>B32*'Factors and data'!A79</f>
        <v>278349.5509029883</v>
      </c>
      <c r="D32" s="18">
        <f>SUM('Bus+Tram Pax value of time'!C32/'Factors and data'!B162)*'Factors and data'!$B$147</f>
        <v>212451.35206168867</v>
      </c>
      <c r="E32" s="18">
        <f>D32*'Factors and data'!C130</f>
        <v>171562.90027610934</v>
      </c>
    </row>
    <row r="33" spans="1:15" x14ac:dyDescent="0.3">
      <c r="A33" t="s">
        <v>51</v>
      </c>
      <c r="B33" s="107">
        <f t="shared" si="0"/>
        <v>27931.375646291668</v>
      </c>
      <c r="C33" s="17">
        <f>B33*'Factors and data'!A80</f>
        <v>282649.57278987049</v>
      </c>
      <c r="D33" s="18">
        <f>SUM('Bus+Tram Pax value of time'!C33/'Factors and data'!B163)*'Factors and data'!$B$147</f>
        <v>211089.39344506725</v>
      </c>
      <c r="E33" s="18">
        <f>D33*'Factors and data'!C131</f>
        <v>164496.85736675977</v>
      </c>
    </row>
    <row r="34" spans="1:15" x14ac:dyDescent="0.3">
      <c r="A34" t="s">
        <v>52</v>
      </c>
      <c r="B34" s="107">
        <f t="shared" si="0"/>
        <v>27931.375646291668</v>
      </c>
      <c r="C34" s="17">
        <f>B34*'Factors and data'!A81</f>
        <v>287329.71123096225</v>
      </c>
      <c r="D34" s="18">
        <f>SUM('Bus+Tram Pax value of time'!C34/'Factors and data'!B164)*'Factors and data'!$B$147</f>
        <v>209965.39300164956</v>
      </c>
      <c r="E34" s="18">
        <f>D34*'Factors and data'!C132</f>
        <v>157894.21772895654</v>
      </c>
    </row>
    <row r="35" spans="1:15" x14ac:dyDescent="0.3">
      <c r="A35" t="s">
        <v>53</v>
      </c>
      <c r="B35" s="107">
        <f t="shared" si="0"/>
        <v>27931.375646291668</v>
      </c>
      <c r="C35" s="17">
        <f>B35*'Factors and data'!A82</f>
        <v>292381.69459751173</v>
      </c>
      <c r="D35" s="18">
        <f>SUM('Bus+Tram Pax value of time'!C35/'Factors and data'!B165)*'Factors and data'!$B$147</f>
        <v>209057.84334184226</v>
      </c>
      <c r="E35" s="18">
        <f>D35*'Factors and data'!C133</f>
        <v>151709.32846110966</v>
      </c>
    </row>
    <row r="36" spans="1:15" x14ac:dyDescent="0.3">
      <c r="A36" t="s">
        <v>54</v>
      </c>
      <c r="B36" s="107">
        <f t="shared" si="0"/>
        <v>27931.375646291668</v>
      </c>
      <c r="C36" s="17">
        <f>B36*'Factors and data'!A83</f>
        <v>297658.94290508796</v>
      </c>
      <c r="D36" s="18">
        <f>SUM('Bus+Tram Pax value of time'!C36/'Factors and data'!B166)*'Factors and data'!$B$147</f>
        <v>208249.67210856939</v>
      </c>
      <c r="E36" s="18">
        <f>D36*'Factors and data'!C134</f>
        <v>145833.55397582936</v>
      </c>
    </row>
    <row r="37" spans="1:15" x14ac:dyDescent="0.3">
      <c r="A37" t="s">
        <v>59</v>
      </c>
      <c r="B37" s="107">
        <f t="shared" si="0"/>
        <v>27931.375646291668</v>
      </c>
      <c r="C37" s="17">
        <f>B37*'Factors and data'!A84</f>
        <v>303312.71924555791</v>
      </c>
      <c r="D37" s="18">
        <f>SUM('Bus+Tram Pax value of time'!C37/'Factors and data'!B167)*'Factors and data'!$B$147</f>
        <v>207637.17811151064</v>
      </c>
      <c r="E37" s="18">
        <f>D37*'Factors and data'!C135</f>
        <v>140315.47305163069</v>
      </c>
    </row>
    <row r="38" spans="1:15" x14ac:dyDescent="0.3">
      <c r="A38" t="s">
        <v>60</v>
      </c>
      <c r="B38" s="107">
        <f t="shared" si="0"/>
        <v>27931.375646291668</v>
      </c>
      <c r="C38" s="17">
        <f>B38*'Factors and data'!A85</f>
        <v>309057.9861631192</v>
      </c>
      <c r="D38" s="18">
        <f>SUM('Bus+Tram Pax value of time'!C38/'Factors and data'!B168)*'Factors and data'!$B$147</f>
        <v>207015.8365823327</v>
      </c>
      <c r="E38" s="18">
        <f>D38*'Factors and data'!C136</f>
        <v>134999.24203266826</v>
      </c>
    </row>
    <row r="39" spans="1:15" x14ac:dyDescent="0.3">
      <c r="A39" t="s">
        <v>61</v>
      </c>
      <c r="B39" s="107">
        <f t="shared" si="0"/>
        <v>27931.375646291668</v>
      </c>
      <c r="C39" s="17">
        <f>B39*'Factors and data'!A86</f>
        <v>314884.80412824277</v>
      </c>
      <c r="D39" s="18">
        <f>SUM('Bus+Tram Pax value of time'!C39/'Factors and data'!B169)*'Factors and data'!$B$147</f>
        <v>206378.47858895137</v>
      </c>
      <c r="E39" s="18">
        <f>D39*'Factors and data'!C137</f>
        <v>129873.18163131521</v>
      </c>
    </row>
    <row r="40" spans="1:15" x14ac:dyDescent="0.3">
      <c r="A40" t="s">
        <v>62</v>
      </c>
      <c r="B40" s="107">
        <f t="shared" si="0"/>
        <v>27931.375646291668</v>
      </c>
      <c r="C40" s="17">
        <f>B40*'Factors and data'!A87</f>
        <v>320771.26964942913</v>
      </c>
      <c r="D40" s="18">
        <f>SUM('Bus+Tram Pax value of time'!C40/'Factors and data'!B170)*'Factors and data'!$B$147</f>
        <v>205710.88430691574</v>
      </c>
      <c r="E40" s="18">
        <f>D40*'Factors and data'!C138</f>
        <v>124922.2097718826</v>
      </c>
    </row>
    <row r="41" spans="1:15" x14ac:dyDescent="0.3">
      <c r="A41" t="s">
        <v>63</v>
      </c>
      <c r="B41" s="107">
        <f t="shared" si="0"/>
        <v>27931.375646291668</v>
      </c>
      <c r="C41" s="17">
        <f>B41*'Factors and data'!A88</f>
        <v>326801.10917200649</v>
      </c>
      <c r="D41" s="18">
        <f>SUM('Bus+Tram Pax value of time'!C41/'Factors and data'!B171)*'Factors and data'!$B$147</f>
        <v>205066.36541184789</v>
      </c>
      <c r="E41" s="18">
        <f>D41*'Factors and data'!C139</f>
        <v>120172.23384813157</v>
      </c>
    </row>
    <row r="42" spans="1:15" x14ac:dyDescent="0.3">
      <c r="A42" t="s">
        <v>64</v>
      </c>
      <c r="B42" s="107">
        <f t="shared" si="0"/>
        <v>27931.375646291668</v>
      </c>
      <c r="C42" s="17">
        <f>B42*'Factors and data'!A89</f>
        <v>333041.58936872031</v>
      </c>
      <c r="D42" s="18">
        <f>SUM('Bus+Tram Pax value of time'!C42/'Factors and data'!B172)*'Factors and data'!$B$147</f>
        <v>204483.60208095305</v>
      </c>
      <c r="E42" s="18">
        <f>D42*'Factors and data'!C140</f>
        <v>115636.64965777074</v>
      </c>
    </row>
    <row r="43" spans="1:15" x14ac:dyDescent="0.3">
      <c r="A43" t="s">
        <v>65</v>
      </c>
      <c r="B43" s="107">
        <f t="shared" si="0"/>
        <v>27931.375646291668</v>
      </c>
      <c r="C43" s="17">
        <f>B43*'Factors and data'!A90</f>
        <v>339602.25432545727</v>
      </c>
      <c r="D43" s="18">
        <f>SUM('Bus+Tram Pax value of time'!C43/'Factors and data'!B173)*'Factors and data'!$B$147</f>
        <v>204023.26112691045</v>
      </c>
      <c r="E43" s="18">
        <f>D43*'Factors and data'!C141</f>
        <v>111338.15286098766</v>
      </c>
    </row>
    <row r="44" spans="1:15" x14ac:dyDescent="0.3">
      <c r="A44" t="s">
        <v>66</v>
      </c>
      <c r="B44" s="107">
        <f t="shared" si="0"/>
        <v>27931.375646291668</v>
      </c>
      <c r="C44" s="17">
        <f>B44*'Factors and data'!A91</f>
        <v>346336.0043609821</v>
      </c>
      <c r="D44" s="18">
        <f>SUM('Bus+Tram Pax value of time'!C44/'Factors and data'!B174)*'Factors and data'!$B$147</f>
        <v>203589.73029399829</v>
      </c>
      <c r="E44" s="18">
        <f>D44*'Factors and data'!C142</f>
        <v>107213.01450455673</v>
      </c>
    </row>
    <row r="45" spans="1:15" x14ac:dyDescent="0.3">
      <c r="A45" t="s">
        <v>68</v>
      </c>
      <c r="B45" s="107">
        <f t="shared" si="0"/>
        <v>27931.375646291668</v>
      </c>
      <c r="C45" s="17">
        <f>B45*'Factors and data'!A92</f>
        <v>353210.93231240747</v>
      </c>
      <c r="D45" s="18">
        <f>SUM('Bus+Tram Pax value of time'!C45/'Factors and data'!B175)*'Factors and data'!$B$147</f>
        <v>203161.52590465214</v>
      </c>
      <c r="E45" s="18">
        <f>D45*'Factors and data'!C143</f>
        <v>103242.95339654254</v>
      </c>
    </row>
    <row r="46" spans="1:15" x14ac:dyDescent="0.3">
      <c r="A46" t="s">
        <v>75</v>
      </c>
      <c r="B46" s="5">
        <f>SUM(B26:B45)</f>
        <v>530696.13727954158</v>
      </c>
      <c r="C46" s="18">
        <f>SUM(C26:C45)</f>
        <v>5726834.3687133305</v>
      </c>
      <c r="D46" s="18">
        <f>SUM(D26:D45)</f>
        <v>3988639.196811961</v>
      </c>
      <c r="E46" s="23">
        <f>SUM(E26:E45)</f>
        <v>2863955.7065236755</v>
      </c>
      <c r="F46" s="24" t="s">
        <v>185</v>
      </c>
      <c r="G46" s="13"/>
      <c r="H46" s="13"/>
      <c r="I46" s="13"/>
      <c r="J46" s="13"/>
      <c r="K46" s="13"/>
      <c r="L46" s="13"/>
      <c r="M46" s="13"/>
      <c r="N46" s="13"/>
      <c r="O46" s="13"/>
    </row>
    <row r="47" spans="1:15" x14ac:dyDescent="0.3">
      <c r="B47" t="s">
        <v>205</v>
      </c>
      <c r="C47" t="s">
        <v>76</v>
      </c>
      <c r="D47" t="s">
        <v>206</v>
      </c>
      <c r="E47" t="s">
        <v>207</v>
      </c>
    </row>
    <row r="48" spans="1:15" x14ac:dyDescent="0.3">
      <c r="A48" s="68" t="s">
        <v>208</v>
      </c>
      <c r="B48" s="3">
        <f>AVERAGE(B26:B45)</f>
        <v>26534.806863977079</v>
      </c>
    </row>
    <row r="49" spans="1:11" x14ac:dyDescent="0.3">
      <c r="B49" s="3"/>
    </row>
    <row r="50" spans="1:11" x14ac:dyDescent="0.3">
      <c r="A50" s="60" t="s">
        <v>139</v>
      </c>
      <c r="B50" s="18"/>
    </row>
    <row r="51" spans="1:11" x14ac:dyDescent="0.3">
      <c r="B51" s="18"/>
    </row>
    <row r="52" spans="1:11" x14ac:dyDescent="0.3">
      <c r="A52" s="3">
        <f>'Factors and data'!A59</f>
        <v>134275</v>
      </c>
      <c r="B52" t="str">
        <f>'Factors and data'!B59</f>
        <v>Top-ups to existing RH PAYG cards at ticket vending machines in 12 months from 12/06/16 to 10/06/17</v>
      </c>
      <c r="K52" t="str">
        <f>'Factors and data'!K59</f>
        <v>RH Card data maintained by ITP on behalf of NCC and Operators</v>
      </c>
    </row>
    <row r="53" spans="1:11" x14ac:dyDescent="0.3">
      <c r="A53" s="3">
        <f>'Factors and data'!A60</f>
        <v>18980</v>
      </c>
      <c r="B53" t="str">
        <f>'Factors and data'!B60</f>
        <v>Average no of RH cards in circulation between 12/06/16 and 11/06/2017</v>
      </c>
      <c r="K53" t="str">
        <f>'Factors and data'!K60</f>
        <v>RH Card data maintained by ITP on behalf of NCC and Operators</v>
      </c>
    </row>
    <row r="54" spans="1:11" x14ac:dyDescent="0.3">
      <c r="A54" s="27">
        <f>'Factors and data'!A61</f>
        <v>7.0745521601685981</v>
      </c>
      <c r="B54" t="str">
        <f>'Factors and data'!B61</f>
        <v>Average RH PAYG card top-ups at ticket vending machines in latest 12 month period</v>
      </c>
    </row>
    <row r="55" spans="1:11" x14ac:dyDescent="0.3">
      <c r="A55" s="8">
        <v>120</v>
      </c>
      <c r="B55" t="s">
        <v>22</v>
      </c>
      <c r="C55" t="s">
        <v>144</v>
      </c>
      <c r="K55" t="s">
        <v>146</v>
      </c>
    </row>
    <row r="56" spans="1:11" x14ac:dyDescent="0.3">
      <c r="A56" s="3">
        <f>SUM(A52*A55)/60/60</f>
        <v>4475.833333333333</v>
      </c>
      <c r="B56" t="s">
        <v>145</v>
      </c>
    </row>
    <row r="57" spans="1:11" x14ac:dyDescent="0.3">
      <c r="A57" s="3"/>
    </row>
    <row r="58" spans="1:11" x14ac:dyDescent="0.3">
      <c r="A58" s="64" t="str">
        <f>'Factors and data'!A43</f>
        <v>Estimated rate of conversion to off-bus ticket purchase/ RH PAYG TVM purchasing / Smartphone purchase</v>
      </c>
      <c r="B58" s="3"/>
    </row>
    <row r="59" spans="1:11" x14ac:dyDescent="0.3">
      <c r="A59" s="32">
        <f>'Factors and data'!A44</f>
        <v>0.1</v>
      </c>
      <c r="B59" s="32" t="str">
        <f>'Factors and data'!B44</f>
        <v>Year 1 (2019)</v>
      </c>
      <c r="C59" s="32"/>
      <c r="D59" s="32"/>
    </row>
    <row r="60" spans="1:11" x14ac:dyDescent="0.3">
      <c r="A60" s="32">
        <f>'Factors and data'!A45</f>
        <v>0.2</v>
      </c>
      <c r="B60" s="32" t="str">
        <f>'Factors and data'!B45</f>
        <v>Year 2 (2020)</v>
      </c>
      <c r="C60" s="32"/>
      <c r="D60" s="32"/>
    </row>
    <row r="61" spans="1:11" x14ac:dyDescent="0.3">
      <c r="A61" s="32">
        <f>'Factors and data'!A46</f>
        <v>0.3</v>
      </c>
      <c r="B61" s="32" t="str">
        <f>'Factors and data'!B46</f>
        <v>Year 3 (2021) onwards</v>
      </c>
      <c r="C61" s="32"/>
      <c r="D61" s="32" t="str">
        <f>'Factors and data'!D46</f>
        <v>Assumes cashless bus/tram network enables cash fare purchase off-bus, maximising dwell-time savings to operators and passengers</v>
      </c>
    </row>
    <row r="62" spans="1:11" x14ac:dyDescent="0.3">
      <c r="B62" s="18"/>
    </row>
    <row r="63" spans="1:11" x14ac:dyDescent="0.3">
      <c r="A63" t="s">
        <v>85</v>
      </c>
    </row>
    <row r="64" spans="1:11" x14ac:dyDescent="0.3">
      <c r="A64" s="63" t="s">
        <v>67</v>
      </c>
      <c r="B64" s="63" t="s">
        <v>205</v>
      </c>
      <c r="C64" s="58" t="s">
        <v>447</v>
      </c>
      <c r="D64" s="58" t="s">
        <v>448</v>
      </c>
      <c r="E64" s="63" t="s">
        <v>82</v>
      </c>
    </row>
    <row r="65" spans="1:5" x14ac:dyDescent="0.3">
      <c r="A65" t="str">
        <f>A26</f>
        <v>per annum in 2019</v>
      </c>
      <c r="B65" s="5">
        <f>$A$56*A59</f>
        <v>447.58333333333331</v>
      </c>
      <c r="C65" s="62">
        <f>B65*'Factors and data'!A73</f>
        <v>4181.1156834806752</v>
      </c>
      <c r="D65" s="18">
        <f>SUM('Bus+Tram Pax value of time'!C65/'Factors and data'!B156)*'Factors and data'!$B$147</f>
        <v>3597.5059954292001</v>
      </c>
      <c r="E65" s="18">
        <f>D65*'Factors and data'!C124</f>
        <v>3597.5059954292001</v>
      </c>
    </row>
    <row r="66" spans="1:5" x14ac:dyDescent="0.3">
      <c r="A66" t="str">
        <f t="shared" ref="A66:A84" si="1">A27</f>
        <v>per annum in 2020</v>
      </c>
      <c r="B66" s="5">
        <f t="shared" ref="B66" si="2">$A$56*A60</f>
        <v>895.16666666666663</v>
      </c>
      <c r="C66" s="62">
        <f>B66*'Factors and data'!A74</f>
        <v>8432.9921480691719</v>
      </c>
      <c r="D66" s="18">
        <f>SUM('Bus+Tram Pax value of time'!C66/'Factors and data'!B157)*'Factors and data'!$B$147</f>
        <v>7119.1937691919065</v>
      </c>
      <c r="E66" s="18">
        <f>D66*'Factors and data'!C125</f>
        <v>6870.02198727019</v>
      </c>
    </row>
    <row r="67" spans="1:5" x14ac:dyDescent="0.3">
      <c r="A67" t="str">
        <f t="shared" si="1"/>
        <v>per annum in 2021</v>
      </c>
      <c r="B67" s="5">
        <f>$A$56*$A$61</f>
        <v>1342.7499999999998</v>
      </c>
      <c r="C67" s="62">
        <f>B67*'Factors and data'!A75</f>
        <v>12763.972787651892</v>
      </c>
      <c r="D67" s="18">
        <f>SUM('Bus+Tram Pax value of time'!C67/'Factors and data'!B158)*'Factors and data'!$B$147</f>
        <v>10570.261029954047</v>
      </c>
      <c r="E67" s="18">
        <f>D67*'Factors and data'!C126</f>
        <v>9843.2913276189574</v>
      </c>
    </row>
    <row r="68" spans="1:5" x14ac:dyDescent="0.3">
      <c r="A68" t="str">
        <f t="shared" si="1"/>
        <v>per annum in 2022</v>
      </c>
      <c r="B68" s="5">
        <f t="shared" ref="B68:B84" si="3">$A$56*$A$61</f>
        <v>1342.7499999999998</v>
      </c>
      <c r="C68" s="62">
        <f>B68*'Factors and data'!A76</f>
        <v>12888.488223576716</v>
      </c>
      <c r="D68" s="18">
        <f>SUM('Bus+Tram Pax value of time'!C68/'Factors and data'!B159)*'Factors and data'!$B$147</f>
        <v>10472.129217611999</v>
      </c>
      <c r="E68" s="18">
        <f>D68*'Factors and data'!C127</f>
        <v>9410.5917320972567</v>
      </c>
    </row>
    <row r="69" spans="1:5" x14ac:dyDescent="0.3">
      <c r="A69" t="str">
        <f t="shared" si="1"/>
        <v>per annum in 2023</v>
      </c>
      <c r="B69" s="5">
        <f t="shared" si="3"/>
        <v>1342.7499999999998</v>
      </c>
      <c r="C69" s="62">
        <f>B69*'Factors and data'!A77</f>
        <v>13027.503998853063</v>
      </c>
      <c r="D69" s="18">
        <f>SUM('Bus+Tram Pax value of time'!C69/'Factors and data'!B160)*'Factors and data'!$B$147</f>
        <v>10385.609310700007</v>
      </c>
      <c r="E69" s="18">
        <f>D69*'Factors and data'!C128</f>
        <v>9006.192688543837</v>
      </c>
    </row>
    <row r="70" spans="1:5" x14ac:dyDescent="0.3">
      <c r="A70" t="str">
        <f t="shared" si="1"/>
        <v>per annum in 2024</v>
      </c>
      <c r="B70" s="5">
        <f t="shared" si="3"/>
        <v>1342.7499999999998</v>
      </c>
      <c r="C70" s="62">
        <f>B70*'Factors and data'!A78</f>
        <v>13193.510758521614</v>
      </c>
      <c r="D70" s="18">
        <f>SUM('Bus+Tram Pax value of time'!C70/'Factors and data'!B161)*'Factors and data'!$B$147</f>
        <v>10291.537141609024</v>
      </c>
      <c r="E70" s="18">
        <f>D70*'Factors and data'!C129</f>
        <v>8612.2536534214778</v>
      </c>
    </row>
    <row r="71" spans="1:5" x14ac:dyDescent="0.3">
      <c r="A71" t="str">
        <f t="shared" si="1"/>
        <v>per annum in 2025</v>
      </c>
      <c r="B71" s="5">
        <f t="shared" si="3"/>
        <v>1342.7499999999998</v>
      </c>
      <c r="C71" s="62">
        <f>B71*'Factors and data'!A79</f>
        <v>13381.147574255236</v>
      </c>
      <c r="D71" s="18">
        <f>SUM('Bus+Tram Pax value of time'!C71/'Factors and data'!B162)*'Factors and data'!$B$147</f>
        <v>10213.211715503399</v>
      </c>
      <c r="E71" s="18">
        <f>D71*'Factors and data'!C130</f>
        <v>8247.5738847588946</v>
      </c>
    </row>
    <row r="72" spans="1:5" x14ac:dyDescent="0.3">
      <c r="A72" t="str">
        <f t="shared" si="1"/>
        <v>per annum in 2026</v>
      </c>
      <c r="B72" s="5">
        <f t="shared" si="3"/>
        <v>1342.7499999999998</v>
      </c>
      <c r="C72" s="62">
        <f>B72*'Factors and data'!A80</f>
        <v>13587.863292869602</v>
      </c>
      <c r="D72" s="18">
        <f>SUM('Bus+Tram Pax value of time'!C72/'Factors and data'!B163)*'Factors and data'!$B$147</f>
        <v>10147.738036167766</v>
      </c>
      <c r="E72" s="18">
        <f>D72*'Factors and data'!C131</f>
        <v>7907.8867445091864</v>
      </c>
    </row>
    <row r="73" spans="1:5" x14ac:dyDescent="0.3">
      <c r="A73" t="str">
        <f t="shared" si="1"/>
        <v>per annum in 2027</v>
      </c>
      <c r="B73" s="5">
        <f t="shared" si="3"/>
        <v>1342.7499999999998</v>
      </c>
      <c r="C73" s="62">
        <f>B73*'Factors and data'!A81</f>
        <v>13812.852422347381</v>
      </c>
      <c r="D73" s="18">
        <f>SUM('Bus+Tram Pax value of time'!C73/'Factors and data'!B164)*'Factors and data'!$B$147</f>
        <v>10093.703762506797</v>
      </c>
      <c r="E73" s="18">
        <f>D73*'Factors and data'!C132</f>
        <v>7590.4768723306479</v>
      </c>
    </row>
    <row r="74" spans="1:5" x14ac:dyDescent="0.3">
      <c r="A74" t="str">
        <f t="shared" si="1"/>
        <v>per annum in 2028</v>
      </c>
      <c r="B74" s="5">
        <f t="shared" si="3"/>
        <v>1342.7499999999998</v>
      </c>
      <c r="C74" s="62">
        <f>B74*'Factors and data'!A82</f>
        <v>14055.717319205223</v>
      </c>
      <c r="D74" s="18">
        <f>SUM('Bus+Tram Pax value of time'!C74/'Factors and data'!B165)*'Factors and data'!$B$147</f>
        <v>10050.074965947037</v>
      </c>
      <c r="E74" s="18">
        <f>D74*'Factors and data'!C133</f>
        <v>7293.1495881478495</v>
      </c>
    </row>
    <row r="75" spans="1:5" x14ac:dyDescent="0.3">
      <c r="A75" t="str">
        <f t="shared" si="1"/>
        <v>per annum in 2029</v>
      </c>
      <c r="B75" s="5">
        <f t="shared" si="3"/>
        <v>1342.7499999999998</v>
      </c>
      <c r="C75" s="62">
        <f>B75*'Factors and data'!A83</f>
        <v>14309.411417724812</v>
      </c>
      <c r="D75" s="18">
        <f>SUM('Bus+Tram Pax value of time'!C75/'Factors and data'!B166)*'Factors and data'!$B$147</f>
        <v>10011.223606199519</v>
      </c>
      <c r="E75" s="18">
        <f>D75*'Factors and data'!C134</f>
        <v>7010.6824340047424</v>
      </c>
    </row>
    <row r="76" spans="1:5" x14ac:dyDescent="0.3">
      <c r="A76" t="str">
        <f t="shared" si="1"/>
        <v>per annum in 2030</v>
      </c>
      <c r="B76" s="5">
        <f t="shared" si="3"/>
        <v>1342.7499999999998</v>
      </c>
      <c r="C76" s="62">
        <f>B76*'Factors and data'!A84</f>
        <v>14581.206415482968</v>
      </c>
      <c r="D76" s="18">
        <f>SUM('Bus+Tram Pax value of time'!C76/'Factors and data'!B167)*'Factors and data'!$B$147</f>
        <v>9981.7790731065052</v>
      </c>
      <c r="E76" s="18">
        <f>D76*'Factors and data'!C135</f>
        <v>6745.4107461796748</v>
      </c>
    </row>
    <row r="77" spans="1:5" x14ac:dyDescent="0.3">
      <c r="A77" t="str">
        <f t="shared" si="1"/>
        <v>per annum in 2031</v>
      </c>
      <c r="B77" s="5">
        <f t="shared" si="3"/>
        <v>1342.7499999999998</v>
      </c>
      <c r="C77" s="62">
        <f>B77*'Factors and data'!A85</f>
        <v>14857.399656061136</v>
      </c>
      <c r="D77" s="18">
        <f>SUM('Bus+Tram Pax value of time'!C77/'Factors and data'!B168)*'Factors and data'!$B$147</f>
        <v>9951.9092110249203</v>
      </c>
      <c r="E77" s="18">
        <f>D77*'Factors and data'!C136</f>
        <v>6489.8426248272435</v>
      </c>
    </row>
    <row r="78" spans="1:5" x14ac:dyDescent="0.3">
      <c r="A78" t="str">
        <f t="shared" si="1"/>
        <v>per annum in 2032</v>
      </c>
      <c r="B78" s="5">
        <f t="shared" si="3"/>
        <v>1342.7499999999998</v>
      </c>
      <c r="C78" s="62">
        <f>B78*'Factors and data'!A86</f>
        <v>15137.51331468462</v>
      </c>
      <c r="D78" s="18">
        <f>SUM('Bus+Tram Pax value of time'!C78/'Factors and data'!B169)*'Factors and data'!$B$147</f>
        <v>9921.2693866048703</v>
      </c>
      <c r="E78" s="18">
        <f>D78*'Factors and data'!C137</f>
        <v>6243.4166094716174</v>
      </c>
    </row>
    <row r="79" spans="1:5" x14ac:dyDescent="0.3">
      <c r="A79" t="str">
        <f t="shared" si="1"/>
        <v>per annum in 2033</v>
      </c>
      <c r="B79" s="5">
        <f t="shared" si="3"/>
        <v>1342.7499999999998</v>
      </c>
      <c r="C79" s="62">
        <f>B79*'Factors and data'!A87</f>
        <v>15420.494420902438</v>
      </c>
      <c r="D79" s="18">
        <f>SUM('Bus+Tram Pax value of time'!C79/'Factors and data'!B170)*'Factors and data'!$B$147</f>
        <v>9889.1760076909595</v>
      </c>
      <c r="E79" s="18">
        <f>D79*'Factors and data'!C138</f>
        <v>6005.4076567999409</v>
      </c>
    </row>
    <row r="80" spans="1:5" x14ac:dyDescent="0.3">
      <c r="A80" t="str">
        <f t="shared" si="1"/>
        <v>per annum in 2034</v>
      </c>
      <c r="B80" s="5">
        <f t="shared" si="3"/>
        <v>1342.7499999999998</v>
      </c>
      <c r="C80" s="62">
        <f>B80*'Factors and data'!A88</f>
        <v>15710.367971044452</v>
      </c>
      <c r="D80" s="18">
        <f>SUM('Bus+Tram Pax value of time'!C80/'Factors and data'!B171)*'Factors and data'!$B$147</f>
        <v>9858.1919359677577</v>
      </c>
      <c r="E80" s="18">
        <f>D80*'Factors and data'!C139</f>
        <v>5777.0612175702809</v>
      </c>
    </row>
    <row r="81" spans="1:14" x14ac:dyDescent="0.3">
      <c r="A81" t="str">
        <f t="shared" si="1"/>
        <v>per annum in 2035</v>
      </c>
      <c r="B81" s="5">
        <f t="shared" si="3"/>
        <v>1342.7499999999998</v>
      </c>
      <c r="C81" s="62">
        <f>B81*'Factors and data'!A89</f>
        <v>16010.367687859331</v>
      </c>
      <c r="D81" s="18">
        <f>SUM('Bus+Tram Pax value of time'!C81/'Factors and data'!B172)*'Factors and data'!$B$147</f>
        <v>9830.1766504885072</v>
      </c>
      <c r="E81" s="18">
        <f>D81*'Factors and data'!C140</f>
        <v>5559.0212703535908</v>
      </c>
    </row>
    <row r="82" spans="1:14" x14ac:dyDescent="0.3">
      <c r="A82" t="str">
        <f t="shared" si="1"/>
        <v>per annum in 2036</v>
      </c>
      <c r="B82" s="5">
        <f t="shared" si="3"/>
        <v>1342.7499999999998</v>
      </c>
      <c r="C82" s="62">
        <f>B82*'Factors and data'!A90</f>
        <v>16325.759703713305</v>
      </c>
      <c r="D82" s="18">
        <f>SUM('Bus+Tram Pax value of time'!C82/'Factors and data'!B173)*'Factors and data'!$B$147</f>
        <v>9808.0465977525328</v>
      </c>
      <c r="E82" s="18">
        <f>D82*'Factors and data'!C141</f>
        <v>5352.3788676673912</v>
      </c>
    </row>
    <row r="83" spans="1:14" x14ac:dyDescent="0.3">
      <c r="A83" t="str">
        <f t="shared" si="1"/>
        <v>per annum in 2037</v>
      </c>
      <c r="B83" s="5">
        <f t="shared" si="3"/>
        <v>1342.7499999999998</v>
      </c>
      <c r="C83" s="62">
        <f>B83*'Factors and data'!A91</f>
        <v>16649.47246941095</v>
      </c>
      <c r="D83" s="18">
        <f>SUM('Bus+Tram Pax value of time'!C83/'Factors and data'!B174)*'Factors and data'!$B$147</f>
        <v>9787.205392748363</v>
      </c>
      <c r="E83" s="18">
        <f>D83*'Factors and data'!C142</f>
        <v>5154.0703561840683</v>
      </c>
    </row>
    <row r="84" spans="1:14" x14ac:dyDescent="0.3">
      <c r="A84" t="str">
        <f t="shared" si="1"/>
        <v>per annum in 2038</v>
      </c>
      <c r="B84" s="5">
        <f t="shared" si="3"/>
        <v>1342.7499999999998</v>
      </c>
      <c r="C84" s="62">
        <f>B84*'Factors and data'!A92</f>
        <v>16979.972106223577</v>
      </c>
      <c r="D84" s="18">
        <f>SUM('Bus+Tram Pax value of time'!C84/'Factors and data'!B175)*'Factors and data'!$B$147</f>
        <v>9766.6202468151423</v>
      </c>
      <c r="E84" s="18">
        <f>D84*'Factors and data'!C143</f>
        <v>4963.2169009052268</v>
      </c>
    </row>
    <row r="85" spans="1:14" x14ac:dyDescent="0.3">
      <c r="B85" s="5">
        <f>SUM(B65:B84)</f>
        <v>25512.25</v>
      </c>
      <c r="C85" s="36">
        <f>SUM(C65:C84)</f>
        <v>275307.12937193818</v>
      </c>
      <c r="D85" s="36">
        <f>SUM(D65:D84)</f>
        <v>191746.56305302028</v>
      </c>
      <c r="E85" s="37">
        <f>SUM(E65:E84)</f>
        <v>137679.45315809129</v>
      </c>
      <c r="F85" s="24" t="s">
        <v>184</v>
      </c>
      <c r="G85" s="13"/>
      <c r="H85" s="13"/>
      <c r="I85" s="13"/>
      <c r="J85" s="13"/>
      <c r="K85" s="13"/>
      <c r="L85" s="13"/>
      <c r="M85" s="13"/>
      <c r="N85" s="13"/>
    </row>
    <row r="86" spans="1:14" x14ac:dyDescent="0.3">
      <c r="B86" s="58" t="s">
        <v>205</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36519-0189-4E04-880C-C8DF99A5E6BD}">
  <sheetPr codeName="Sheet10"/>
  <dimension ref="A1:H40"/>
  <sheetViews>
    <sheetView zoomScale="55" zoomScaleNormal="55" workbookViewId="0">
      <selection activeCell="Q52" sqref="Q52"/>
    </sheetView>
  </sheetViews>
  <sheetFormatPr defaultRowHeight="14.4" x14ac:dyDescent="0.3"/>
  <cols>
    <col min="1" max="1" width="41.109375" bestFit="1" customWidth="1"/>
    <col min="2" max="2" width="21.5546875" customWidth="1"/>
    <col min="3" max="3" width="29.44140625" customWidth="1"/>
    <col min="4" max="4" width="26.77734375" customWidth="1"/>
    <col min="5" max="5" width="17.33203125" customWidth="1"/>
  </cols>
  <sheetData>
    <row r="1" spans="1:8" x14ac:dyDescent="0.3">
      <c r="A1" s="1" t="s">
        <v>328</v>
      </c>
    </row>
    <row r="2" spans="1:8" s="30" customFormat="1" x14ac:dyDescent="0.3">
      <c r="A2" s="60"/>
    </row>
    <row r="3" spans="1:8" x14ac:dyDescent="0.3">
      <c r="A3" s="30" t="s">
        <v>345</v>
      </c>
      <c r="B3" s="119">
        <f t="shared" ref="B3" si="0">7323575+10300000</f>
        <v>17623575</v>
      </c>
      <c r="C3" t="s">
        <v>349</v>
      </c>
      <c r="F3" t="s">
        <v>346</v>
      </c>
    </row>
    <row r="4" spans="1:8" x14ac:dyDescent="0.3">
      <c r="B4" s="107"/>
    </row>
    <row r="5" spans="1:8" x14ac:dyDescent="0.3">
      <c r="A5" t="s">
        <v>348</v>
      </c>
      <c r="B5" s="118">
        <v>81.2</v>
      </c>
      <c r="F5" t="s">
        <v>347</v>
      </c>
    </row>
    <row r="6" spans="1:8" x14ac:dyDescent="0.3">
      <c r="B6" s="107" t="s">
        <v>333</v>
      </c>
      <c r="C6" t="s">
        <v>334</v>
      </c>
    </row>
    <row r="7" spans="1:8" x14ac:dyDescent="0.3">
      <c r="A7" t="s">
        <v>331</v>
      </c>
      <c r="B7" s="120">
        <v>3.7999999999999999E-2</v>
      </c>
      <c r="C7" s="120">
        <f>B7/$B$5*100</f>
        <v>4.6798029556650245E-2</v>
      </c>
      <c r="F7" t="s">
        <v>337</v>
      </c>
    </row>
    <row r="8" spans="1:8" x14ac:dyDescent="0.3">
      <c r="A8" t="s">
        <v>332</v>
      </c>
      <c r="B8" s="120">
        <v>0.19900000000000001</v>
      </c>
      <c r="C8" s="120">
        <f>B8/$B$5*100</f>
        <v>0.24507389162561577</v>
      </c>
      <c r="F8" t="s">
        <v>338</v>
      </c>
      <c r="H8" s="9" t="s">
        <v>339</v>
      </c>
    </row>
    <row r="9" spans="1:8" x14ac:dyDescent="0.3">
      <c r="A9" t="s">
        <v>335</v>
      </c>
      <c r="B9" s="120">
        <f>AVERAGE(B7:B8)</f>
        <v>0.11850000000000001</v>
      </c>
      <c r="C9" s="122">
        <f>AVERAGE(C7:C8)</f>
        <v>0.14593596059113301</v>
      </c>
      <c r="D9" s="30"/>
      <c r="E9" s="30"/>
      <c r="F9" t="s">
        <v>340</v>
      </c>
    </row>
    <row r="10" spans="1:8" x14ac:dyDescent="0.3">
      <c r="B10" s="120"/>
      <c r="C10" s="121"/>
      <c r="D10" s="30"/>
      <c r="E10" s="30"/>
    </row>
    <row r="11" spans="1:8" x14ac:dyDescent="0.3">
      <c r="A11" t="s">
        <v>344</v>
      </c>
      <c r="B11" s="120"/>
      <c r="C11" s="168">
        <f>C9/3</f>
        <v>4.8645320197044338E-2</v>
      </c>
      <c r="D11" s="169" t="s">
        <v>336</v>
      </c>
      <c r="E11" s="30"/>
      <c r="F11" t="s">
        <v>444</v>
      </c>
    </row>
    <row r="13" spans="1:8" x14ac:dyDescent="0.3">
      <c r="A13" t="s">
        <v>341</v>
      </c>
    </row>
    <row r="14" spans="1:8" x14ac:dyDescent="0.3">
      <c r="A14">
        <v>2019</v>
      </c>
      <c r="B14" s="15">
        <v>0.33</v>
      </c>
    </row>
    <row r="15" spans="1:8" x14ac:dyDescent="0.3">
      <c r="A15">
        <v>2020</v>
      </c>
      <c r="B15" s="15">
        <v>0.5</v>
      </c>
    </row>
    <row r="16" spans="1:8" x14ac:dyDescent="0.3">
      <c r="A16">
        <v>2021</v>
      </c>
      <c r="B16" s="15">
        <v>0.75</v>
      </c>
      <c r="C16" t="s">
        <v>350</v>
      </c>
    </row>
    <row r="18" spans="1:5" x14ac:dyDescent="0.3">
      <c r="A18" t="s">
        <v>342</v>
      </c>
    </row>
    <row r="19" spans="1:5" x14ac:dyDescent="0.3">
      <c r="B19" t="s">
        <v>343</v>
      </c>
      <c r="C19" t="s">
        <v>445</v>
      </c>
      <c r="D19" t="s">
        <v>446</v>
      </c>
      <c r="E19" t="s">
        <v>82</v>
      </c>
    </row>
    <row r="20" spans="1:5" x14ac:dyDescent="0.3">
      <c r="A20" t="s">
        <v>44</v>
      </c>
      <c r="B20" s="107">
        <f>$B$3*B14</f>
        <v>5815779.75</v>
      </c>
      <c r="C20" s="36">
        <f>SUM(B20*$C$11)</f>
        <v>282910.46813423646</v>
      </c>
      <c r="D20" s="36">
        <f>SUM(C20/'Factors and data'!B156)*'Factors and data'!$B$147</f>
        <v>243421.17806109763</v>
      </c>
      <c r="E20" s="18">
        <f>D20*'Factors and data'!C124</f>
        <v>243421.17806109763</v>
      </c>
    </row>
    <row r="21" spans="1:5" x14ac:dyDescent="0.3">
      <c r="A21" t="s">
        <v>45</v>
      </c>
      <c r="B21" s="107">
        <f>$B$3*B15</f>
        <v>8811787.5</v>
      </c>
      <c r="C21" s="36">
        <f t="shared" ref="C21" si="1">SUM(B21*$C$11)</f>
        <v>428652.22444581281</v>
      </c>
      <c r="D21" s="36">
        <f>SUM(C21/'Factors and data'!B157)*'Factors and data'!$B$147</f>
        <v>361871.34908261389</v>
      </c>
      <c r="E21" s="18">
        <f>D21*'Factors and data'!C125</f>
        <v>349205.85186472238</v>
      </c>
    </row>
    <row r="22" spans="1:5" x14ac:dyDescent="0.3">
      <c r="A22" t="s">
        <v>46</v>
      </c>
      <c r="B22" s="107">
        <f t="shared" ref="B22:B39" si="2">$B$3*$B$16</f>
        <v>13217681.25</v>
      </c>
      <c r="C22" s="36">
        <f>SUM(B22*$C$11)</f>
        <v>642978.3366687193</v>
      </c>
      <c r="D22" s="36">
        <f>SUM(C22/'Factors and data'!B158)*'Factors and data'!$B$147</f>
        <v>532471.27428609447</v>
      </c>
      <c r="E22" s="18">
        <f>D22*'Factors and data'!C126</f>
        <v>495850.56239706831</v>
      </c>
    </row>
    <row r="23" spans="1:5" x14ac:dyDescent="0.3">
      <c r="A23" t="s">
        <v>47</v>
      </c>
      <c r="B23" s="107">
        <f t="shared" si="2"/>
        <v>13217681.25</v>
      </c>
      <c r="C23" s="36">
        <f t="shared" ref="C23:C39" si="3">SUM(B23*$C$11)</f>
        <v>642978.3366687193</v>
      </c>
      <c r="D23" s="36">
        <f>SUM(C23/'Factors and data'!B159)*'Factors and data'!$B$147</f>
        <v>522431.49925084627</v>
      </c>
      <c r="E23" s="18">
        <f>D23*'Factors and data'!C127</f>
        <v>469473.72833872383</v>
      </c>
    </row>
    <row r="24" spans="1:5" x14ac:dyDescent="0.3">
      <c r="A24" t="s">
        <v>48</v>
      </c>
      <c r="B24" s="107">
        <f t="shared" si="2"/>
        <v>13217681.25</v>
      </c>
      <c r="C24" s="36">
        <f t="shared" si="3"/>
        <v>642978.3366687193</v>
      </c>
      <c r="D24" s="36">
        <f>SUM(C24/'Factors and data'!B160)*'Factors and data'!$B$147</f>
        <v>512586.4325563024</v>
      </c>
      <c r="E24" s="18">
        <f>D24*'Factors and data'!C128</f>
        <v>444504.70290454075</v>
      </c>
    </row>
    <row r="25" spans="1:5" x14ac:dyDescent="0.3">
      <c r="A25" t="s">
        <v>49</v>
      </c>
      <c r="B25" s="107">
        <f t="shared" si="2"/>
        <v>13217681.25</v>
      </c>
      <c r="C25" s="36">
        <f t="shared" si="3"/>
        <v>642978.3366687193</v>
      </c>
      <c r="D25" s="36">
        <f>SUM(C25/'Factors and data'!B161)*'Factors and data'!$B$147</f>
        <v>501552.2823447187</v>
      </c>
      <c r="E25" s="18">
        <f>D25*'Factors and data'!C129</f>
        <v>419713.34471906256</v>
      </c>
    </row>
    <row r="26" spans="1:5" x14ac:dyDescent="0.3">
      <c r="A26" t="s">
        <v>50</v>
      </c>
      <c r="B26" s="107">
        <f t="shared" si="2"/>
        <v>13217681.25</v>
      </c>
      <c r="C26" s="36">
        <f t="shared" si="3"/>
        <v>642978.3366687193</v>
      </c>
      <c r="D26" s="36">
        <f>SUM(C26/'Factors and data'!B162)*'Factors and data'!$B$147</f>
        <v>490755.65787154471</v>
      </c>
      <c r="E26" s="18">
        <f>D26*'Factors and data'!C130</f>
        <v>396304.6748081168</v>
      </c>
    </row>
    <row r="27" spans="1:5" x14ac:dyDescent="0.3">
      <c r="A27" t="s">
        <v>51</v>
      </c>
      <c r="B27" s="107">
        <f t="shared" si="2"/>
        <v>13217681.25</v>
      </c>
      <c r="C27" s="36">
        <f t="shared" si="3"/>
        <v>642978.3366687193</v>
      </c>
      <c r="D27" s="36">
        <f>SUM(C27/'Factors and data'!B163)*'Factors and data'!$B$147</f>
        <v>480191.44605826307</v>
      </c>
      <c r="E27" s="18">
        <f>D27*'Factors and data'!C131</f>
        <v>374201.5765066857</v>
      </c>
    </row>
    <row r="28" spans="1:5" x14ac:dyDescent="0.3">
      <c r="A28" t="s">
        <v>52</v>
      </c>
      <c r="B28" s="107">
        <f t="shared" si="2"/>
        <v>13217681.25</v>
      </c>
      <c r="C28" s="36">
        <f t="shared" si="3"/>
        <v>642978.3366687193</v>
      </c>
      <c r="D28" s="36">
        <f>SUM(C28/'Factors and data'!B164)*'Factors and data'!$B$147</f>
        <v>469854.64389262517</v>
      </c>
      <c r="E28" s="18">
        <f>D28*'Factors and data'!C132</f>
        <v>353331.23417705635</v>
      </c>
    </row>
    <row r="29" spans="1:5" x14ac:dyDescent="0.3">
      <c r="A29" t="s">
        <v>53</v>
      </c>
      <c r="B29" s="107">
        <f t="shared" si="2"/>
        <v>13217681.25</v>
      </c>
      <c r="C29" s="36">
        <f t="shared" si="3"/>
        <v>642978.3366687193</v>
      </c>
      <c r="D29" s="36">
        <f>SUM(C29/'Factors and data'!B165)*'Factors and data'!$B$147</f>
        <v>459740.35605932015</v>
      </c>
      <c r="E29" s="18">
        <f>D29*'Factors and data'!C133</f>
        <v>333624.89332765108</v>
      </c>
    </row>
    <row r="30" spans="1:5" x14ac:dyDescent="0.3">
      <c r="A30" t="s">
        <v>54</v>
      </c>
      <c r="B30" s="107">
        <f t="shared" si="2"/>
        <v>13217681.25</v>
      </c>
      <c r="C30" s="36">
        <f t="shared" si="3"/>
        <v>642978.3366687193</v>
      </c>
      <c r="D30" s="36">
        <f>SUM(C30/'Factors and data'!B166)*'Factors and data'!$B$147</f>
        <v>449843.79262164392</v>
      </c>
      <c r="E30" s="18">
        <f>D30*'Factors and data'!C134</f>
        <v>315017.63411074679</v>
      </c>
    </row>
    <row r="31" spans="1:5" x14ac:dyDescent="0.3">
      <c r="A31" t="s">
        <v>59</v>
      </c>
      <c r="B31" s="107">
        <f t="shared" si="2"/>
        <v>13217681.25</v>
      </c>
      <c r="C31" s="36">
        <f t="shared" si="3"/>
        <v>642978.3366687193</v>
      </c>
      <c r="D31" s="36">
        <f>SUM(C31/'Factors and data'!B167)*'Factors and data'!$B$147</f>
        <v>440160.2667530764</v>
      </c>
      <c r="E31" s="18">
        <f>D31*'Factors and data'!C135</f>
        <v>297448.15745290683</v>
      </c>
    </row>
    <row r="32" spans="1:5" x14ac:dyDescent="0.3">
      <c r="A32" t="s">
        <v>60</v>
      </c>
      <c r="B32" s="107">
        <f t="shared" si="2"/>
        <v>13217681.25</v>
      </c>
      <c r="C32" s="36">
        <f t="shared" si="3"/>
        <v>642978.3366687193</v>
      </c>
      <c r="D32" s="36">
        <f>SUM(C32/'Factors and data'!B168)*'Factors and data'!$B$147</f>
        <v>430685.19251768722</v>
      </c>
      <c r="E32" s="18">
        <f>D32*'Factors and data'!C136</f>
        <v>280858.58311355679</v>
      </c>
    </row>
    <row r="33" spans="1:6" x14ac:dyDescent="0.3">
      <c r="A33" t="s">
        <v>61</v>
      </c>
      <c r="B33" s="107">
        <f t="shared" si="2"/>
        <v>13217681.25</v>
      </c>
      <c r="C33" s="36">
        <f t="shared" si="3"/>
        <v>642978.3366687193</v>
      </c>
      <c r="D33" s="36">
        <f>SUM(C33/'Factors and data'!B169)*'Factors and data'!$B$147</f>
        <v>421414.082698324</v>
      </c>
      <c r="E33" s="18">
        <f>D33*'Factors and data'!C137</f>
        <v>265194.25900644058</v>
      </c>
    </row>
    <row r="34" spans="1:6" x14ac:dyDescent="0.3">
      <c r="A34" t="s">
        <v>62</v>
      </c>
      <c r="B34" s="107">
        <f t="shared" si="2"/>
        <v>13217681.25</v>
      </c>
      <c r="C34" s="36">
        <f t="shared" si="3"/>
        <v>642978.3366687193</v>
      </c>
      <c r="D34" s="36">
        <f>SUM(C34/'Factors and data'!B170)*'Factors and data'!$B$147</f>
        <v>412342.54667154991</v>
      </c>
      <c r="E34" s="18">
        <f>D34*'Factors and data'!C138</f>
        <v>250403.58115578778</v>
      </c>
    </row>
    <row r="35" spans="1:6" x14ac:dyDescent="0.3">
      <c r="A35" t="s">
        <v>63</v>
      </c>
      <c r="B35" s="107">
        <f t="shared" si="2"/>
        <v>13217681.25</v>
      </c>
      <c r="C35" s="36">
        <f t="shared" si="3"/>
        <v>642978.3366687193</v>
      </c>
      <c r="D35" s="36">
        <f>SUM(C35/'Factors and data'!B171)*'Factors and data'!$B$147</f>
        <v>403466.28832832671</v>
      </c>
      <c r="E35" s="18">
        <f>D35*'Factors and data'!C139</f>
        <v>236437.82369406574</v>
      </c>
    </row>
    <row r="36" spans="1:6" x14ac:dyDescent="0.3">
      <c r="A36" t="s">
        <v>64</v>
      </c>
      <c r="B36" s="107">
        <f t="shared" si="2"/>
        <v>13217681.25</v>
      </c>
      <c r="C36" s="36">
        <f t="shared" si="3"/>
        <v>642978.3366687193</v>
      </c>
      <c r="D36" s="36">
        <f>SUM(C36/'Factors and data'!B172)*'Factors and data'!$B$147</f>
        <v>394781.10403945873</v>
      </c>
      <c r="E36" s="18">
        <f>D36*'Factors and data'!C140</f>
        <v>223250.97834126567</v>
      </c>
    </row>
    <row r="37" spans="1:6" x14ac:dyDescent="0.3">
      <c r="A37" t="s">
        <v>65</v>
      </c>
      <c r="B37" s="107">
        <f t="shared" si="2"/>
        <v>13217681.25</v>
      </c>
      <c r="C37" s="36">
        <f t="shared" si="3"/>
        <v>642978.3366687193</v>
      </c>
      <c r="D37" s="36">
        <f>SUM(C37/'Factors and data'!B173)*'Factors and data'!$B$147</f>
        <v>386282.88066483231</v>
      </c>
      <c r="E37" s="18">
        <f>D37*'Factors and data'!C141</f>
        <v>210799.60283690927</v>
      </c>
    </row>
    <row r="38" spans="1:6" x14ac:dyDescent="0.3">
      <c r="A38" t="s">
        <v>66</v>
      </c>
      <c r="B38" s="107">
        <f t="shared" si="2"/>
        <v>13217681.25</v>
      </c>
      <c r="C38" s="36">
        <f t="shared" si="3"/>
        <v>642978.3366687193</v>
      </c>
      <c r="D38" s="36">
        <f>SUM(C38/'Factors and data'!B174)*'Factors and data'!$B$147</f>
        <v>377967.59360551107</v>
      </c>
      <c r="E38" s="18">
        <f>D38*'Factors and data'!C142</f>
        <v>199042.67782545739</v>
      </c>
    </row>
    <row r="39" spans="1:6" x14ac:dyDescent="0.3">
      <c r="A39" t="s">
        <v>68</v>
      </c>
      <c r="B39" s="107">
        <f t="shared" si="2"/>
        <v>13217681.25</v>
      </c>
      <c r="C39" s="36">
        <f t="shared" si="3"/>
        <v>642978.3366687193</v>
      </c>
      <c r="D39" s="36">
        <f>SUM(C39/'Factors and data'!B175)*'Factors and data'!$B$147</f>
        <v>369831.30489776033</v>
      </c>
      <c r="E39" s="18">
        <f>D39*'Factors and data'!C143</f>
        <v>187941.47172364613</v>
      </c>
    </row>
    <row r="40" spans="1:6" x14ac:dyDescent="0.3">
      <c r="A40" t="s">
        <v>703</v>
      </c>
      <c r="B40" s="107">
        <f>SUM(B20:B39)</f>
        <v>252545829.75</v>
      </c>
      <c r="C40" s="18">
        <f>SUM(C20:C39)</f>
        <v>12285172.752616994</v>
      </c>
      <c r="D40" s="18">
        <f>SUM(D20:D39)</f>
        <v>8661651.1722615957</v>
      </c>
      <c r="E40" s="23">
        <f>SUM(E20:E39)</f>
        <v>6346026.5163655085</v>
      </c>
      <c r="F40" s="1" t="s">
        <v>453</v>
      </c>
    </row>
  </sheetData>
  <hyperlinks>
    <hyperlink ref="H8" r:id="rId1" xr:uid="{A1DB59AE-0233-4AB9-8CB0-FFC4B7ABCF48}"/>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EC89F-32CA-410B-8ED0-CD59CEABEE66}">
  <sheetPr codeName="Sheet11"/>
  <dimension ref="A1:M94"/>
  <sheetViews>
    <sheetView topLeftCell="A4" zoomScale="85" zoomScaleNormal="85" workbookViewId="0">
      <selection activeCell="C6" sqref="C6:C14"/>
    </sheetView>
  </sheetViews>
  <sheetFormatPr defaultRowHeight="14.4" x14ac:dyDescent="0.3"/>
  <cols>
    <col min="1" max="1" width="31.5546875" customWidth="1"/>
    <col min="2" max="2" width="37.88671875" customWidth="1"/>
    <col min="3" max="3" width="28" customWidth="1"/>
    <col min="4" max="4" width="17.6640625" customWidth="1"/>
    <col min="5" max="5" width="13.6640625" customWidth="1"/>
    <col min="6" max="6" width="15" customWidth="1"/>
    <col min="7" max="7" width="13.33203125" customWidth="1"/>
    <col min="8" max="8" width="18" bestFit="1" customWidth="1"/>
    <col min="9" max="9" width="43.33203125" customWidth="1"/>
    <col min="10" max="10" width="45.44140625" customWidth="1"/>
    <col min="11" max="11" width="63.109375" bestFit="1" customWidth="1"/>
    <col min="12" max="12" width="11.77734375" bestFit="1" customWidth="1"/>
    <col min="13" max="13" width="33" bestFit="1" customWidth="1"/>
  </cols>
  <sheetData>
    <row r="1" spans="1:11" x14ac:dyDescent="0.3">
      <c r="A1" s="1" t="s">
        <v>351</v>
      </c>
    </row>
    <row r="2" spans="1:11" s="30" customFormat="1" x14ac:dyDescent="0.3">
      <c r="A2" s="60"/>
    </row>
    <row r="3" spans="1:11" s="30" customFormat="1" x14ac:dyDescent="0.3">
      <c r="A3" s="60" t="s">
        <v>352</v>
      </c>
    </row>
    <row r="4" spans="1:11" s="30" customFormat="1" x14ac:dyDescent="0.3">
      <c r="A4" s="124" t="s">
        <v>366</v>
      </c>
    </row>
    <row r="5" spans="1:11" ht="43.2" x14ac:dyDescent="0.3">
      <c r="A5" s="125" t="s">
        <v>353</v>
      </c>
      <c r="B5" s="125" t="s">
        <v>354</v>
      </c>
      <c r="C5" s="221" t="s">
        <v>675</v>
      </c>
      <c r="D5" s="125" t="s">
        <v>371</v>
      </c>
      <c r="E5" s="126" t="s">
        <v>365</v>
      </c>
      <c r="F5" s="126" t="s">
        <v>372</v>
      </c>
      <c r="G5" s="126" t="s">
        <v>357</v>
      </c>
      <c r="H5" s="126" t="s">
        <v>356</v>
      </c>
      <c r="I5" s="126" t="s">
        <v>455</v>
      </c>
      <c r="J5" s="125" t="s">
        <v>373</v>
      </c>
      <c r="K5" s="125" t="s">
        <v>374</v>
      </c>
    </row>
    <row r="6" spans="1:11" x14ac:dyDescent="0.3">
      <c r="A6" s="123" t="s">
        <v>355</v>
      </c>
      <c r="B6" t="s">
        <v>359</v>
      </c>
      <c r="C6" s="7">
        <f>2.8*'Factors and data'!$E$63</f>
        <v>4.5061631999999996</v>
      </c>
      <c r="D6" s="3">
        <f>79519/2</f>
        <v>39759.5</v>
      </c>
      <c r="E6" s="3">
        <f>D6*AVERAGE(F8,F10)</f>
        <v>9303.0717936102246</v>
      </c>
      <c r="F6" s="32">
        <f t="shared" ref="F6:F12" si="0">E6/D6</f>
        <v>0.2339836213637049</v>
      </c>
      <c r="G6" s="30">
        <v>13</v>
      </c>
      <c r="H6" s="30">
        <v>5.2</v>
      </c>
      <c r="I6" s="3">
        <f>E6*H6</f>
        <v>48375.973326773172</v>
      </c>
      <c r="J6" t="s">
        <v>377</v>
      </c>
      <c r="K6" t="s">
        <v>715</v>
      </c>
    </row>
    <row r="7" spans="1:11" x14ac:dyDescent="0.3">
      <c r="A7" s="123" t="s">
        <v>355</v>
      </c>
      <c r="B7" t="s">
        <v>360</v>
      </c>
      <c r="C7" s="7">
        <f>2.8*'Factors and data'!$E$63</f>
        <v>4.5061631999999996</v>
      </c>
      <c r="D7" s="3">
        <f>79519/2</f>
        <v>39759.5</v>
      </c>
      <c r="E7" s="3">
        <f>D7*AVERAGE(F9,F11)</f>
        <v>7063.909728648865</v>
      </c>
      <c r="F7" s="32">
        <f>E7/D7</f>
        <v>0.17766595979951622</v>
      </c>
      <c r="G7" s="30">
        <v>10.5</v>
      </c>
      <c r="H7" s="30">
        <v>2.7</v>
      </c>
      <c r="I7" s="3">
        <f t="shared" ref="I7:I13" si="1">E7*H7</f>
        <v>19072.556267351938</v>
      </c>
      <c r="J7" t="s">
        <v>377</v>
      </c>
      <c r="K7" t="s">
        <v>715</v>
      </c>
    </row>
    <row r="8" spans="1:11" x14ac:dyDescent="0.3">
      <c r="A8" t="s">
        <v>367</v>
      </c>
      <c r="B8" t="s">
        <v>361</v>
      </c>
      <c r="C8" s="7">
        <f>3*'Factors and data'!$E$63</f>
        <v>4.8280320000000003</v>
      </c>
      <c r="D8" s="3">
        <v>13269</v>
      </c>
      <c r="E8" s="3">
        <v>3273</v>
      </c>
      <c r="F8" s="32">
        <f t="shared" si="0"/>
        <v>0.24666515939407641</v>
      </c>
      <c r="G8" s="30">
        <v>17.7</v>
      </c>
      <c r="H8" s="30">
        <v>7.4</v>
      </c>
      <c r="I8" s="3">
        <f t="shared" si="1"/>
        <v>24220.2</v>
      </c>
      <c r="J8" t="s">
        <v>376</v>
      </c>
      <c r="K8" t="s">
        <v>715</v>
      </c>
    </row>
    <row r="9" spans="1:11" x14ac:dyDescent="0.3">
      <c r="A9" t="s">
        <v>367</v>
      </c>
      <c r="B9" t="s">
        <v>362</v>
      </c>
      <c r="C9" s="7">
        <f>3*'Factors and data'!$E$63</f>
        <v>4.8280320000000003</v>
      </c>
      <c r="D9" s="3">
        <v>16505</v>
      </c>
      <c r="E9" s="3">
        <v>2932</v>
      </c>
      <c r="F9" s="32">
        <f t="shared" si="0"/>
        <v>0.17764313844289609</v>
      </c>
      <c r="G9" s="30">
        <v>14.4</v>
      </c>
      <c r="H9" s="30">
        <v>3.6</v>
      </c>
      <c r="I9" s="3">
        <f t="shared" si="1"/>
        <v>10555.2</v>
      </c>
      <c r="J9" t="s">
        <v>376</v>
      </c>
      <c r="K9" t="s">
        <v>715</v>
      </c>
    </row>
    <row r="10" spans="1:11" x14ac:dyDescent="0.3">
      <c r="A10" t="s">
        <v>368</v>
      </c>
      <c r="B10" t="s">
        <v>370</v>
      </c>
      <c r="C10" s="7">
        <f>2.9*'Factors and data'!$E$63</f>
        <v>4.6670976</v>
      </c>
      <c r="D10" s="3">
        <v>19200</v>
      </c>
      <c r="E10" s="3">
        <v>4249</v>
      </c>
      <c r="F10" s="32">
        <f t="shared" si="0"/>
        <v>0.22130208333333334</v>
      </c>
      <c r="G10" s="30">
        <v>17.2</v>
      </c>
      <c r="H10" s="94">
        <v>9</v>
      </c>
      <c r="I10" s="3">
        <f t="shared" si="1"/>
        <v>38241</v>
      </c>
      <c r="J10" t="s">
        <v>378</v>
      </c>
      <c r="K10" t="s">
        <v>715</v>
      </c>
    </row>
    <row r="11" spans="1:11" x14ac:dyDescent="0.3">
      <c r="A11" t="s">
        <v>368</v>
      </c>
      <c r="B11" t="s">
        <v>369</v>
      </c>
      <c r="C11" s="7">
        <f>2.9*'Factors and data'!$E$63</f>
        <v>4.6670976</v>
      </c>
      <c r="D11" s="3">
        <v>18977</v>
      </c>
      <c r="E11" s="3">
        <v>3372</v>
      </c>
      <c r="F11" s="32">
        <f t="shared" si="0"/>
        <v>0.17768878115613637</v>
      </c>
      <c r="G11" s="30">
        <v>14.6</v>
      </c>
      <c r="H11" s="30">
        <v>4.8</v>
      </c>
      <c r="I11" s="3">
        <f t="shared" si="1"/>
        <v>16185.599999999999</v>
      </c>
      <c r="J11" t="s">
        <v>378</v>
      </c>
      <c r="K11" t="s">
        <v>715</v>
      </c>
    </row>
    <row r="12" spans="1:11" x14ac:dyDescent="0.3">
      <c r="A12" t="s">
        <v>358</v>
      </c>
      <c r="B12" t="s">
        <v>363</v>
      </c>
      <c r="C12" s="7">
        <f>1.1*'Factors and data'!$E$63</f>
        <v>1.7702784000000003</v>
      </c>
      <c r="D12" s="3">
        <f>59177/2</f>
        <v>29588.5</v>
      </c>
      <c r="E12" s="3">
        <f>D12*AVERAGE(F7,F9,F11)</f>
        <v>5256.8692515279863</v>
      </c>
      <c r="F12" s="32">
        <f t="shared" si="0"/>
        <v>0.17766595979951624</v>
      </c>
      <c r="G12" s="30">
        <v>4</v>
      </c>
      <c r="H12" s="30">
        <v>1</v>
      </c>
      <c r="I12" s="3">
        <f t="shared" si="1"/>
        <v>5256.8692515279863</v>
      </c>
      <c r="J12" s="30" t="s">
        <v>375</v>
      </c>
      <c r="K12" s="30" t="s">
        <v>379</v>
      </c>
    </row>
    <row r="13" spans="1:11" x14ac:dyDescent="0.3">
      <c r="A13" t="s">
        <v>358</v>
      </c>
      <c r="B13" t="s">
        <v>364</v>
      </c>
      <c r="C13" s="7">
        <f>1.1*'Factors and data'!$E$63</f>
        <v>1.7702784000000003</v>
      </c>
      <c r="D13" s="3">
        <f>59177/2</f>
        <v>29588.5</v>
      </c>
      <c r="E13" s="3">
        <f>D13*AVERAGE(F6,F8,F10)</f>
        <v>6923.224380719982</v>
      </c>
      <c r="F13" s="32">
        <f>E13/D13</f>
        <v>0.23398362136370487</v>
      </c>
      <c r="G13" s="30">
        <v>6</v>
      </c>
      <c r="H13" s="30">
        <v>3</v>
      </c>
      <c r="I13" s="3">
        <f t="shared" si="1"/>
        <v>20769.673142159947</v>
      </c>
      <c r="J13" s="30" t="s">
        <v>375</v>
      </c>
      <c r="K13" s="30" t="s">
        <v>379</v>
      </c>
    </row>
    <row r="14" spans="1:11" x14ac:dyDescent="0.3">
      <c r="C14" s="238"/>
      <c r="D14" s="239"/>
      <c r="E14" s="239"/>
      <c r="F14" s="240"/>
      <c r="G14" s="141" t="s">
        <v>686</v>
      </c>
      <c r="H14" s="142">
        <f>SUM(E6:E13)</f>
        <v>42373.07515450706</v>
      </c>
      <c r="I14" s="3"/>
      <c r="J14" s="30"/>
      <c r="K14" s="30"/>
    </row>
    <row r="15" spans="1:11" x14ac:dyDescent="0.3">
      <c r="C15" s="238"/>
      <c r="D15" s="239"/>
      <c r="E15" s="239"/>
      <c r="F15" s="240"/>
      <c r="G15" s="141" t="s">
        <v>687</v>
      </c>
      <c r="H15" s="142">
        <f>(C6*E6)+(C7*E7)+(C8*E8)+(C9*E9)+(C10*E10)+(C11*E11)+(C12*E12)+(C13*E13)</f>
        <v>160840.33586743003</v>
      </c>
      <c r="I15" s="3"/>
      <c r="J15" s="30"/>
      <c r="K15" s="30"/>
    </row>
    <row r="16" spans="1:11" x14ac:dyDescent="0.3">
      <c r="C16" s="238"/>
      <c r="D16" s="239"/>
      <c r="E16" s="239"/>
      <c r="F16" s="240"/>
      <c r="G16" s="141" t="s">
        <v>685</v>
      </c>
      <c r="H16" s="142">
        <f>(E6*G6)+(E7*G7)+(E8*G8)+(E9*G9)+(E10*G10)+(E11*G11)+(E12*G12)+(E13*G13)</f>
        <v>480144.70875817782</v>
      </c>
      <c r="I16" s="3"/>
      <c r="J16" s="30"/>
      <c r="K16" s="30"/>
    </row>
    <row r="17" spans="1:13" x14ac:dyDescent="0.3">
      <c r="C17" s="13"/>
      <c r="D17" s="13"/>
      <c r="E17" s="13"/>
      <c r="F17" s="13"/>
      <c r="G17" s="141" t="s">
        <v>681</v>
      </c>
      <c r="H17" s="142">
        <f>SUM(I6:I13)</f>
        <v>182677.07198781305</v>
      </c>
    </row>
    <row r="18" spans="1:13" x14ac:dyDescent="0.3">
      <c r="C18" s="13"/>
      <c r="D18" s="13"/>
      <c r="E18" s="13"/>
      <c r="F18" s="13"/>
      <c r="G18" s="141" t="s">
        <v>404</v>
      </c>
      <c r="H18" s="142">
        <f>H17*2</f>
        <v>365354.1439756261</v>
      </c>
      <c r="I18" t="s">
        <v>689</v>
      </c>
    </row>
    <row r="19" spans="1:13" x14ac:dyDescent="0.3">
      <c r="C19" s="13"/>
      <c r="D19" s="13"/>
      <c r="E19" s="13"/>
      <c r="F19" s="13"/>
      <c r="G19" s="141" t="s">
        <v>478</v>
      </c>
      <c r="H19" s="142">
        <f>H18*220</f>
        <v>80377911.674637735</v>
      </c>
      <c r="I19" t="s">
        <v>688</v>
      </c>
    </row>
    <row r="20" spans="1:13" x14ac:dyDescent="0.3">
      <c r="C20" s="13"/>
      <c r="D20" s="13"/>
      <c r="E20" s="13"/>
      <c r="F20" s="13"/>
      <c r="G20" s="141" t="s">
        <v>442</v>
      </c>
      <c r="H20" s="142">
        <f>H19/60</f>
        <v>1339631.8612439623</v>
      </c>
      <c r="I20" t="s">
        <v>456</v>
      </c>
    </row>
    <row r="21" spans="1:13" s="30" customFormat="1" x14ac:dyDescent="0.3">
      <c r="G21" s="157"/>
      <c r="H21" s="31"/>
    </row>
    <row r="22" spans="1:13" s="30" customFormat="1" x14ac:dyDescent="0.3">
      <c r="A22" s="60" t="s">
        <v>464</v>
      </c>
      <c r="F22" s="95"/>
      <c r="G22" s="157"/>
      <c r="H22" s="31"/>
    </row>
    <row r="24" spans="1:13" x14ac:dyDescent="0.3">
      <c r="A24" s="11" t="s">
        <v>457</v>
      </c>
      <c r="L24" s="7">
        <f>AVERAGE('Smart TC System JT Savings'!C6:C13)</f>
        <v>3.9428927999999992</v>
      </c>
      <c r="M24" t="s">
        <v>677</v>
      </c>
    </row>
    <row r="25" spans="1:13" x14ac:dyDescent="0.3">
      <c r="A25" s="143">
        <f>AVERAGE('Factors and data'!D310,'Factors and data'!F310)/100</f>
        <v>0.18285714285714286</v>
      </c>
      <c r="B25" t="s">
        <v>454</v>
      </c>
      <c r="D25" t="s">
        <v>405</v>
      </c>
      <c r="F25" s="9" t="s">
        <v>381</v>
      </c>
      <c r="L25">
        <f>SUM(AVERAGE('Smart TC System JT Savings'!G6:G13))/60</f>
        <v>0.20291666666666666</v>
      </c>
      <c r="M25" t="s">
        <v>678</v>
      </c>
    </row>
    <row r="26" spans="1:13" x14ac:dyDescent="0.3">
      <c r="A26" s="107">
        <f>H19</f>
        <v>80377911.674637735</v>
      </c>
      <c r="B26" t="s">
        <v>407</v>
      </c>
      <c r="L26">
        <f>L24/L25</f>
        <v>19.431093880903486</v>
      </c>
      <c r="M26" s="233" t="s">
        <v>679</v>
      </c>
    </row>
    <row r="27" spans="1:13" x14ac:dyDescent="0.3">
      <c r="A27" s="32">
        <v>0.15</v>
      </c>
      <c r="B27" t="s">
        <v>461</v>
      </c>
    </row>
    <row r="28" spans="1:13" x14ac:dyDescent="0.3">
      <c r="A28" s="107">
        <f>A26*A25*A27</f>
        <v>2204651.2916472065</v>
      </c>
      <c r="B28" t="s">
        <v>406</v>
      </c>
      <c r="L28" s="118"/>
    </row>
    <row r="29" spans="1:13" x14ac:dyDescent="0.3">
      <c r="A29" s="156">
        <v>0.4</v>
      </c>
      <c r="B29" t="s">
        <v>459</v>
      </c>
      <c r="C29" s="117" t="s">
        <v>458</v>
      </c>
    </row>
    <row r="31" spans="1:13" ht="28.8" x14ac:dyDescent="0.3">
      <c r="A31" s="148"/>
      <c r="B31" s="271" t="s">
        <v>673</v>
      </c>
      <c r="C31" s="271" t="s">
        <v>676</v>
      </c>
      <c r="D31" s="152" t="s">
        <v>441</v>
      </c>
      <c r="E31" s="151" t="s">
        <v>460</v>
      </c>
      <c r="F31" s="151" t="s">
        <v>436</v>
      </c>
      <c r="G31" s="151" t="s">
        <v>437</v>
      </c>
    </row>
    <row r="32" spans="1:13" x14ac:dyDescent="0.3">
      <c r="A32" s="151" t="s">
        <v>130</v>
      </c>
      <c r="B32" s="271"/>
      <c r="C32" s="271"/>
      <c r="D32" s="151" t="s">
        <v>440</v>
      </c>
      <c r="E32" s="151" t="s">
        <v>438</v>
      </c>
      <c r="F32" s="151" t="s">
        <v>439</v>
      </c>
      <c r="G32" s="151" t="s">
        <v>439</v>
      </c>
    </row>
    <row r="33" spans="1:11" x14ac:dyDescent="0.3">
      <c r="A33" s="148"/>
      <c r="B33" s="271"/>
      <c r="C33" s="271"/>
      <c r="D33" s="148"/>
      <c r="E33" s="151" t="s">
        <v>451</v>
      </c>
      <c r="F33" s="151" t="s">
        <v>452</v>
      </c>
      <c r="G33" s="151"/>
      <c r="I33" s="148" t="s">
        <v>671</v>
      </c>
      <c r="J33" s="151" t="s">
        <v>672</v>
      </c>
      <c r="K33" s="151" t="s">
        <v>670</v>
      </c>
    </row>
    <row r="34" spans="1:11" x14ac:dyDescent="0.3">
      <c r="A34">
        <v>2019</v>
      </c>
      <c r="B34" s="107">
        <f>SUM($E$6:$E$13)*220*2</f>
        <v>18644153.067983106</v>
      </c>
      <c r="C34" s="107">
        <f>$H$15*2*220</f>
        <v>70769747.781669214</v>
      </c>
      <c r="D34" s="107">
        <f>A28</f>
        <v>2204651.2916472065</v>
      </c>
      <c r="E34" s="36">
        <f>D34*'Factors and data'!C97*$A$29/100</f>
        <v>181021.72305465184</v>
      </c>
      <c r="F34" s="36">
        <f>SUM('Smart TC System JT Savings'!E34*'Factors and data'!$B$147)/'Factors and data'!B156</f>
        <v>155754.29700856883</v>
      </c>
      <c r="G34" s="36">
        <f>F34*'Factors and data'!C124</f>
        <v>155754.29700856883</v>
      </c>
      <c r="I34" s="107">
        <f>D34/60</f>
        <v>36744.188194120106</v>
      </c>
      <c r="J34" s="27">
        <f t="shared" ref="J34:J53" si="2">(I34/B34)*60</f>
        <v>0.11824893754134479</v>
      </c>
      <c r="K34" s="27">
        <f>J34/60</f>
        <v>1.9708156256890799E-3</v>
      </c>
    </row>
    <row r="35" spans="1:11" x14ac:dyDescent="0.3">
      <c r="A35">
        <v>2020</v>
      </c>
      <c r="B35" s="107">
        <f t="shared" ref="B35:B53" si="3">SUM($E$6:$E$13)*220*2</f>
        <v>18644153.067983106</v>
      </c>
      <c r="C35" s="107">
        <f t="shared" ref="C35:C53" si="4">$H$15*2*220</f>
        <v>70769747.781669214</v>
      </c>
      <c r="D35" s="107">
        <f>$A$28*'Factors and data'!$D$360</f>
        <v>2280932.2263381998</v>
      </c>
      <c r="E35" s="36">
        <f>D35*'Factors and data'!C98*$A$29/100</f>
        <v>188869.87155155983</v>
      </c>
      <c r="F35" s="36">
        <f>SUM('Smart TC System JT Savings'!E35*'Factors and data'!$B$147)/'Factors and data'!B157</f>
        <v>159445.32962073278</v>
      </c>
      <c r="G35" s="36">
        <f>F35*'Factors and data'!C125</f>
        <v>153864.74308400712</v>
      </c>
      <c r="I35" s="107">
        <f t="shared" ref="I35:I53" si="5">D35/60</f>
        <v>38015.537105636664</v>
      </c>
      <c r="J35" s="27">
        <f t="shared" si="2"/>
        <v>0.12234035078027534</v>
      </c>
      <c r="K35" s="27">
        <f t="shared" ref="K35:K53" si="6">J35/60</f>
        <v>2.0390058463379225E-3</v>
      </c>
    </row>
    <row r="36" spans="1:11" x14ac:dyDescent="0.3">
      <c r="A36">
        <v>2021</v>
      </c>
      <c r="B36" s="107">
        <f t="shared" si="3"/>
        <v>18644153.067983106</v>
      </c>
      <c r="C36" s="107">
        <f t="shared" si="4"/>
        <v>70769747.781669214</v>
      </c>
      <c r="D36" s="107">
        <f>$A$28*'Factors and data'!$D$360</f>
        <v>2280932.2263381998</v>
      </c>
      <c r="E36" s="36">
        <f>D36*'Factors and data'!C99*$A$29/100</f>
        <v>190579.24388426254</v>
      </c>
      <c r="F36" s="36">
        <f>SUM('Smart TC System JT Savings'!E36*'Factors and data'!$B$147)/'Factors and data'!B158</f>
        <v>157824.87069361092</v>
      </c>
      <c r="G36" s="36">
        <f>F36*'Factors and data'!C126</f>
        <v>146970.46521165784</v>
      </c>
      <c r="I36" s="107">
        <f t="shared" si="5"/>
        <v>38015.537105636664</v>
      </c>
      <c r="J36" s="27">
        <f t="shared" si="2"/>
        <v>0.12234035078027534</v>
      </c>
      <c r="K36" s="27">
        <f t="shared" si="6"/>
        <v>2.0390058463379225E-3</v>
      </c>
    </row>
    <row r="37" spans="1:11" x14ac:dyDescent="0.3">
      <c r="A37">
        <v>2022</v>
      </c>
      <c r="B37" s="107">
        <f t="shared" si="3"/>
        <v>18644153.067983106</v>
      </c>
      <c r="C37" s="107">
        <f t="shared" si="4"/>
        <v>70769747.781669214</v>
      </c>
      <c r="D37" s="107">
        <f>$A$28*'Factors and data'!$D$360</f>
        <v>2280932.2263381998</v>
      </c>
      <c r="E37" s="36">
        <f>D37*'Factors and data'!C100*$A$29/100</f>
        <v>192438.38743034005</v>
      </c>
      <c r="F37" s="36">
        <f>SUM('Smart TC System JT Savings'!E37*'Factors and data'!$B$147)/'Factors and data'!B159</f>
        <v>156359.66178818041</v>
      </c>
      <c r="G37" s="36">
        <f>F37*'Factors and data'!C127</f>
        <v>140509.81513699386</v>
      </c>
      <c r="I37" s="107">
        <f t="shared" si="5"/>
        <v>38015.537105636664</v>
      </c>
      <c r="J37" s="27">
        <f t="shared" si="2"/>
        <v>0.12234035078027534</v>
      </c>
      <c r="K37" s="27">
        <f t="shared" si="6"/>
        <v>2.0390058463379225E-3</v>
      </c>
    </row>
    <row r="38" spans="1:11" x14ac:dyDescent="0.3">
      <c r="A38">
        <v>2023</v>
      </c>
      <c r="B38" s="107">
        <f>SUM($E$6:$E$13)*220*2</f>
        <v>18644153.067983106</v>
      </c>
      <c r="C38" s="107">
        <f t="shared" si="4"/>
        <v>70769747.781669214</v>
      </c>
      <c r="D38" s="107">
        <f>$A$28*'Factors and data'!$D$360</f>
        <v>2280932.2263381998</v>
      </c>
      <c r="E38" s="36">
        <f>D38*'Factors and data'!C101*$A$29/100</f>
        <v>194514.03595928248</v>
      </c>
      <c r="F38" s="36">
        <f>SUM('Smart TC System JT Savings'!E38*'Factors and data'!$B$147)/'Factors and data'!B160</f>
        <v>155067.83057586575</v>
      </c>
      <c r="G38" s="36">
        <f>F38*'Factors and data'!C128</f>
        <v>134471.72141569664</v>
      </c>
      <c r="H38" s="118">
        <f>D38/220/2</f>
        <v>5183.9368780413633</v>
      </c>
      <c r="I38" s="107">
        <f t="shared" si="5"/>
        <v>38015.537105636664</v>
      </c>
      <c r="J38" s="27">
        <f t="shared" si="2"/>
        <v>0.12234035078027534</v>
      </c>
      <c r="K38" s="27">
        <f t="shared" si="6"/>
        <v>2.0390058463379225E-3</v>
      </c>
    </row>
    <row r="39" spans="1:11" x14ac:dyDescent="0.3">
      <c r="A39">
        <v>2024</v>
      </c>
      <c r="B39" s="107">
        <f t="shared" si="3"/>
        <v>18644153.067983106</v>
      </c>
      <c r="C39" s="107">
        <f t="shared" si="4"/>
        <v>70769747.781669214</v>
      </c>
      <c r="D39" s="107">
        <f>$A$28*'Factors and data'!$D$360</f>
        <v>2280932.2263381998</v>
      </c>
      <c r="E39" s="36">
        <f>D39*'Factors and data'!C102*$A$29/100</f>
        <v>196992.68765054236</v>
      </c>
      <c r="F39" s="36">
        <f>SUM('Smart TC System JT Savings'!E39*'Factors and data'!$B$147)/'Factors and data'!B161</f>
        <v>153663.23632028597</v>
      </c>
      <c r="G39" s="36">
        <f>F39*'Factors and data'!C129</f>
        <v>128589.80638037581</v>
      </c>
      <c r="I39" s="107">
        <f t="shared" si="5"/>
        <v>38015.537105636664</v>
      </c>
      <c r="J39" s="27">
        <f t="shared" si="2"/>
        <v>0.12234035078027534</v>
      </c>
      <c r="K39" s="27">
        <f t="shared" si="6"/>
        <v>2.0390058463379225E-3</v>
      </c>
    </row>
    <row r="40" spans="1:11" x14ac:dyDescent="0.3">
      <c r="A40">
        <v>2025</v>
      </c>
      <c r="B40" s="107">
        <f t="shared" si="3"/>
        <v>18644153.067983106</v>
      </c>
      <c r="C40" s="107">
        <f t="shared" si="4"/>
        <v>70769747.781669214</v>
      </c>
      <c r="D40" s="107">
        <f>$A$28*'Factors and data'!$D$361</f>
        <v>2380582.4647206538</v>
      </c>
      <c r="E40" s="36">
        <f>D40*'Factors and data'!C103*$A$29/100</f>
        <v>208522.98795298318</v>
      </c>
      <c r="F40" s="36">
        <f>SUM('Smart TC System JT Savings'!E40*'Factors and data'!$B$147)/'Factors and data'!B162</f>
        <v>159155.96264782365</v>
      </c>
      <c r="G40" s="36">
        <f>F40*'Factors and data'!C130</f>
        <v>128524.75770626412</v>
      </c>
      <c r="I40" s="107">
        <f t="shared" si="5"/>
        <v>39676.374412010897</v>
      </c>
      <c r="J40" s="27">
        <f t="shared" si="2"/>
        <v>0.12768520275714415</v>
      </c>
      <c r="K40" s="27">
        <f t="shared" si="6"/>
        <v>2.1280867126190692E-3</v>
      </c>
    </row>
    <row r="41" spans="1:11" x14ac:dyDescent="0.3">
      <c r="A41">
        <v>2026</v>
      </c>
      <c r="B41" s="107">
        <f t="shared" si="3"/>
        <v>18644153.067983106</v>
      </c>
      <c r="C41" s="107">
        <f t="shared" si="4"/>
        <v>70769747.781669214</v>
      </c>
      <c r="D41" s="107">
        <f>$A$28*'Factors and data'!$D$361</f>
        <v>2380582.4647206538</v>
      </c>
      <c r="E41" s="36">
        <f>D41*'Factors and data'!C104*$A$29/100</f>
        <v>211744.30952223687</v>
      </c>
      <c r="F41" s="36">
        <f>SUM('Smart TC System JT Savings'!E41*'Factors and data'!$B$147)/'Factors and data'!B163</f>
        <v>158135.66396480115</v>
      </c>
      <c r="G41" s="36">
        <f>F41*'Factors and data'!C131</f>
        <v>123231.29710723802</v>
      </c>
      <c r="I41" s="107">
        <f t="shared" si="5"/>
        <v>39676.374412010897</v>
      </c>
      <c r="J41" s="27">
        <f t="shared" si="2"/>
        <v>0.12768520275714415</v>
      </c>
      <c r="K41" s="27">
        <f t="shared" si="6"/>
        <v>2.1280867126190692E-3</v>
      </c>
    </row>
    <row r="42" spans="1:11" x14ac:dyDescent="0.3">
      <c r="A42">
        <v>2027</v>
      </c>
      <c r="B42" s="107">
        <f t="shared" si="3"/>
        <v>18644153.067983106</v>
      </c>
      <c r="C42" s="107">
        <f t="shared" si="4"/>
        <v>70769747.781669214</v>
      </c>
      <c r="D42" s="107">
        <f>$A$28*'Factors and data'!$D$361</f>
        <v>2380582.4647206538</v>
      </c>
      <c r="E42" s="36">
        <f>D42*'Factors and data'!C105*$A$29/100</f>
        <v>215250.39188739299</v>
      </c>
      <c r="F42" s="36">
        <f>SUM('Smart TC System JT Savings'!E42*'Factors and data'!$B$147)/'Factors and data'!B164</f>
        <v>157293.62944323799</v>
      </c>
      <c r="G42" s="36">
        <f>F42*'Factors and data'!C132</f>
        <v>118284.99077699587</v>
      </c>
      <c r="I42" s="107">
        <f t="shared" si="5"/>
        <v>39676.374412010897</v>
      </c>
      <c r="J42" s="27">
        <f t="shared" si="2"/>
        <v>0.12768520275714415</v>
      </c>
      <c r="K42" s="27">
        <f t="shared" si="6"/>
        <v>2.1280867126190692E-3</v>
      </c>
    </row>
    <row r="43" spans="1:11" x14ac:dyDescent="0.3">
      <c r="A43">
        <v>2028</v>
      </c>
      <c r="B43" s="107">
        <f t="shared" si="3"/>
        <v>18644153.067983106</v>
      </c>
      <c r="C43" s="107">
        <f t="shared" si="4"/>
        <v>70769747.781669214</v>
      </c>
      <c r="D43" s="107">
        <f>$A$28*'Factors and data'!$D$361</f>
        <v>2380582.4647206538</v>
      </c>
      <c r="E43" s="36">
        <f>D43*'Factors and data'!C106*$A$29/100</f>
        <v>219035.03843438462</v>
      </c>
      <c r="F43" s="36">
        <f>SUM('Smart TC System JT Savings'!E43*'Factors and data'!$B$147)/'Factors and data'!B165</f>
        <v>156613.74702142409</v>
      </c>
      <c r="G43" s="36">
        <f>F43*'Factors and data'!C133</f>
        <v>113651.63826715379</v>
      </c>
      <c r="I43" s="107">
        <f t="shared" si="5"/>
        <v>39676.374412010897</v>
      </c>
      <c r="J43" s="27">
        <f t="shared" si="2"/>
        <v>0.12768520275714415</v>
      </c>
      <c r="K43" s="27">
        <f t="shared" si="6"/>
        <v>2.1280867126190692E-3</v>
      </c>
    </row>
    <row r="44" spans="1:11" x14ac:dyDescent="0.3">
      <c r="A44">
        <v>2029</v>
      </c>
      <c r="B44" s="107">
        <f t="shared" si="3"/>
        <v>18644153.067983106</v>
      </c>
      <c r="C44" s="107">
        <f t="shared" si="4"/>
        <v>70769747.781669214</v>
      </c>
      <c r="D44" s="107">
        <f>$A$28*'Factors and data'!$D$361</f>
        <v>2380582.4647206538</v>
      </c>
      <c r="E44" s="36">
        <f>D44*'Factors and data'!C107*$A$29/100</f>
        <v>222988.44012551632</v>
      </c>
      <c r="F44" s="36">
        <f>SUM('Smart TC System JT Savings'!E44*'Factors and data'!$B$147)/'Factors and data'!B166</f>
        <v>156008.31302739392</v>
      </c>
      <c r="G44" s="36">
        <f>F44*'Factors and data'!C134</f>
        <v>109249.85623361435</v>
      </c>
      <c r="I44" s="107">
        <f t="shared" si="5"/>
        <v>39676.374412010897</v>
      </c>
      <c r="J44" s="27">
        <f t="shared" si="2"/>
        <v>0.12768520275714415</v>
      </c>
      <c r="K44" s="27">
        <f t="shared" si="6"/>
        <v>2.1280867126190692E-3</v>
      </c>
    </row>
    <row r="45" spans="1:11" x14ac:dyDescent="0.3">
      <c r="A45">
        <v>2030</v>
      </c>
      <c r="B45" s="107">
        <f t="shared" si="3"/>
        <v>18644153.067983106</v>
      </c>
      <c r="C45" s="107">
        <f t="shared" si="4"/>
        <v>70769747.781669214</v>
      </c>
      <c r="D45" s="107">
        <f>$A$28*'Factors and data'!$D$362</f>
        <v>2464359.2138032475</v>
      </c>
      <c r="E45" s="36">
        <f>D45*'Factors and data'!C108*$A$29/100</f>
        <v>235220.31062250229</v>
      </c>
      <c r="F45" s="36">
        <f>SUM('Smart TC System JT Savings'!E45*'Factors and data'!$B$147)/'Factors and data'!B167</f>
        <v>161023.51940153478</v>
      </c>
      <c r="G45" s="36">
        <f>F45*'Factors and data'!C135</f>
        <v>108815.24928609234</v>
      </c>
      <c r="I45" s="107">
        <f t="shared" si="5"/>
        <v>41072.653563387459</v>
      </c>
      <c r="J45" s="27">
        <f t="shared" si="2"/>
        <v>0.13217866238371523</v>
      </c>
      <c r="K45" s="27">
        <f t="shared" si="6"/>
        <v>2.202977706395254E-3</v>
      </c>
    </row>
    <row r="46" spans="1:11" x14ac:dyDescent="0.3">
      <c r="A46">
        <v>2031</v>
      </c>
      <c r="B46" s="107">
        <f t="shared" si="3"/>
        <v>18644153.067983106</v>
      </c>
      <c r="C46" s="107">
        <f t="shared" si="4"/>
        <v>70769747.781669214</v>
      </c>
      <c r="D46" s="107">
        <f>$A$28*'Factors and data'!$D$362</f>
        <v>2464359.2138032475</v>
      </c>
      <c r="E46" s="36">
        <f>D46*'Factors and data'!C109*$A$29/100</f>
        <v>239675.78968160451</v>
      </c>
      <c r="F46" s="36">
        <f>SUM('Smart TC System JT Savings'!E46*'Factors and data'!$B$147)/'Factors and data'!B168</f>
        <v>160541.66638904181</v>
      </c>
      <c r="G46" s="36">
        <f>F46*'Factors and data'!C136</f>
        <v>104692.48940074458</v>
      </c>
      <c r="I46" s="107">
        <f t="shared" si="5"/>
        <v>41072.653563387459</v>
      </c>
      <c r="J46" s="27">
        <f t="shared" si="2"/>
        <v>0.13217866238371523</v>
      </c>
      <c r="K46" s="27">
        <f t="shared" si="6"/>
        <v>2.202977706395254E-3</v>
      </c>
    </row>
    <row r="47" spans="1:11" x14ac:dyDescent="0.3">
      <c r="A47">
        <v>2032</v>
      </c>
      <c r="B47" s="107">
        <f t="shared" si="3"/>
        <v>18644153.067983106</v>
      </c>
      <c r="C47" s="107">
        <f t="shared" si="4"/>
        <v>70769747.781669214</v>
      </c>
      <c r="D47" s="107">
        <f>$A$28*'Factors and data'!$D$362</f>
        <v>2464359.2138032475</v>
      </c>
      <c r="E47" s="36">
        <f>D47*'Factors and data'!C110*$A$29/100</f>
        <v>244194.51192677199</v>
      </c>
      <c r="F47" s="36">
        <f>SUM('Smart TC System JT Savings'!E47*'Factors and data'!$B$147)/'Factors and data'!B169</f>
        <v>160047.39254007896</v>
      </c>
      <c r="G47" s="36">
        <f>F47*'Factors and data'!C137</f>
        <v>100717.20764244875</v>
      </c>
      <c r="I47" s="107">
        <f t="shared" si="5"/>
        <v>41072.653563387459</v>
      </c>
      <c r="J47" s="27">
        <f t="shared" si="2"/>
        <v>0.13217866238371523</v>
      </c>
      <c r="K47" s="27">
        <f t="shared" si="6"/>
        <v>2.202977706395254E-3</v>
      </c>
    </row>
    <row r="48" spans="1:11" x14ac:dyDescent="0.3">
      <c r="A48">
        <v>2033</v>
      </c>
      <c r="B48" s="107">
        <f t="shared" si="3"/>
        <v>18644153.067983106</v>
      </c>
      <c r="C48" s="107">
        <f t="shared" si="4"/>
        <v>70769747.781669214</v>
      </c>
      <c r="D48" s="107">
        <f>$A$28*'Factors and data'!$D$362</f>
        <v>2464359.2138032475</v>
      </c>
      <c r="E48" s="36">
        <f>D48*'Factors and data'!C111*$A$29/100</f>
        <v>248759.49110669602</v>
      </c>
      <c r="F48" s="36">
        <f>SUM('Smart TC System JT Savings'!E48*'Factors and data'!$B$147)/'Factors and data'!B170</f>
        <v>159529.67031998609</v>
      </c>
      <c r="G48" s="36">
        <f>F48*'Factors and data'!C138</f>
        <v>96877.707797022944</v>
      </c>
      <c r="I48" s="107">
        <f t="shared" si="5"/>
        <v>41072.653563387459</v>
      </c>
      <c r="J48" s="27">
        <f t="shared" si="2"/>
        <v>0.13217866238371523</v>
      </c>
      <c r="K48" s="27">
        <f t="shared" si="6"/>
        <v>2.202977706395254E-3</v>
      </c>
    </row>
    <row r="49" spans="1:11" x14ac:dyDescent="0.3">
      <c r="A49">
        <v>2034</v>
      </c>
      <c r="B49" s="107">
        <f t="shared" si="3"/>
        <v>18644153.067983106</v>
      </c>
      <c r="C49" s="107">
        <f t="shared" si="4"/>
        <v>70769747.781669214</v>
      </c>
      <c r="D49" s="107">
        <f>$A$28*'Factors and data'!$D$362</f>
        <v>2464359.2138032475</v>
      </c>
      <c r="E49" s="36">
        <f>D49*'Factors and data'!C112*$A$29/100</f>
        <v>253435.65743771047</v>
      </c>
      <c r="F49" s="36">
        <f>SUM('Smart TC System JT Savings'!E49*'Factors and data'!$B$147)/'Factors and data'!B171</f>
        <v>159029.84316114814</v>
      </c>
      <c r="G49" s="36">
        <f>F49*'Factors and data'!C139</f>
        <v>93194.081159098874</v>
      </c>
      <c r="I49" s="107">
        <f t="shared" si="5"/>
        <v>41072.653563387459</v>
      </c>
      <c r="J49" s="27">
        <f t="shared" si="2"/>
        <v>0.13217866238371523</v>
      </c>
      <c r="K49" s="27">
        <f t="shared" si="6"/>
        <v>2.202977706395254E-3</v>
      </c>
    </row>
    <row r="50" spans="1:11" x14ac:dyDescent="0.3">
      <c r="A50">
        <v>2035</v>
      </c>
      <c r="B50" s="107">
        <f t="shared" si="3"/>
        <v>18644153.067983106</v>
      </c>
      <c r="C50" s="107">
        <f t="shared" si="4"/>
        <v>70769747.781669214</v>
      </c>
      <c r="D50" s="107">
        <f>$A$28*'Factors and data'!$D$363</f>
        <v>2612346.4317550668</v>
      </c>
      <c r="E50" s="36">
        <f>D50*'Factors and data'!C113*$A$29/100</f>
        <v>273784.85733462346</v>
      </c>
      <c r="F50" s="36">
        <f>SUM('Smart TC System JT Savings'!E50*'Factors and data'!$B$147)/'Factors and data'!B172</f>
        <v>168100.66853548886</v>
      </c>
      <c r="G50" s="36">
        <f>F50*'Factors and data'!C140</f>
        <v>95061.892087463435</v>
      </c>
      <c r="I50" s="107">
        <f t="shared" si="5"/>
        <v>43539.107195917779</v>
      </c>
      <c r="J50" s="27">
        <f t="shared" si="2"/>
        <v>0.14011612231617801</v>
      </c>
      <c r="K50" s="27">
        <f t="shared" si="6"/>
        <v>2.3352687052696336E-3</v>
      </c>
    </row>
    <row r="51" spans="1:11" x14ac:dyDescent="0.3">
      <c r="A51">
        <v>2036</v>
      </c>
      <c r="B51" s="107">
        <f t="shared" si="3"/>
        <v>18644153.067983106</v>
      </c>
      <c r="C51" s="107">
        <f t="shared" si="4"/>
        <v>70769747.781669214</v>
      </c>
      <c r="D51" s="107">
        <f>$A$28*'Factors and data'!$D$363</f>
        <v>2612346.4317550668</v>
      </c>
      <c r="E51" s="36">
        <f>D51*'Factors and data'!C114*$A$29/100</f>
        <v>279178.20992642804</v>
      </c>
      <c r="F51" s="36">
        <f>SUM('Smart TC System JT Savings'!E51*'Factors and data'!$B$147)/'Factors and data'!B173</f>
        <v>167722.23417037929</v>
      </c>
      <c r="G51" s="36">
        <f>F51*'Factors and data'!C141</f>
        <v>91528.209298802307</v>
      </c>
      <c r="I51" s="107">
        <f t="shared" si="5"/>
        <v>43539.107195917779</v>
      </c>
      <c r="J51" s="27">
        <f t="shared" si="2"/>
        <v>0.14011612231617801</v>
      </c>
      <c r="K51" s="27">
        <f t="shared" si="6"/>
        <v>2.3352687052696336E-3</v>
      </c>
    </row>
    <row r="52" spans="1:11" x14ac:dyDescent="0.3">
      <c r="A52">
        <v>2037</v>
      </c>
      <c r="B52" s="107">
        <f t="shared" si="3"/>
        <v>18644153.067983106</v>
      </c>
      <c r="C52" s="107">
        <f t="shared" si="4"/>
        <v>70769747.781669214</v>
      </c>
      <c r="D52" s="107">
        <f>$A$28*'Factors and data'!$D$363</f>
        <v>2612346.4317550668</v>
      </c>
      <c r="E52" s="36">
        <f>D52*'Factors and data'!C115*$A$29/100</f>
        <v>284713.85127469845</v>
      </c>
      <c r="F52" s="36">
        <f>SUM('Smart TC System JT Savings'!E52*'Factors and data'!$B$147)/'Factors and data'!B174</f>
        <v>167365.8397108645</v>
      </c>
      <c r="G52" s="36">
        <f>F52*'Factors and data'!C142</f>
        <v>88137.039990062825</v>
      </c>
      <c r="I52" s="107">
        <f t="shared" si="5"/>
        <v>43539.107195917779</v>
      </c>
      <c r="J52" s="27">
        <f t="shared" si="2"/>
        <v>0.14011612231617801</v>
      </c>
      <c r="K52" s="27">
        <f t="shared" si="6"/>
        <v>2.3352687052696336E-3</v>
      </c>
    </row>
    <row r="53" spans="1:11" x14ac:dyDescent="0.3">
      <c r="A53">
        <v>2038</v>
      </c>
      <c r="B53" s="107">
        <f t="shared" si="3"/>
        <v>18644153.067983106</v>
      </c>
      <c r="C53" s="107">
        <f t="shared" si="4"/>
        <v>70769747.781669214</v>
      </c>
      <c r="D53" s="107">
        <f>$A$28*'Factors and data'!$D$363</f>
        <v>2612346.4317550668</v>
      </c>
      <c r="E53" s="36">
        <f>D53*'Factors and data'!C116*$A$29/100</f>
        <v>290365.5513279399</v>
      </c>
      <c r="F53" s="36">
        <f>SUM('Smart TC System JT Savings'!E53*'Factors and data'!$B$147)/'Factors and data'!B175</f>
        <v>167013.82398253033</v>
      </c>
      <c r="G53" s="36">
        <f>F53*'Factors and data'!C143</f>
        <v>84873.355667249853</v>
      </c>
      <c r="I53" s="107">
        <f t="shared" si="5"/>
        <v>43539.107195917779</v>
      </c>
      <c r="J53" s="27">
        <f t="shared" si="2"/>
        <v>0.14011612231617801</v>
      </c>
      <c r="K53" s="27">
        <f t="shared" si="6"/>
        <v>2.3352687052696336E-3</v>
      </c>
    </row>
    <row r="54" spans="1:11" x14ac:dyDescent="0.3">
      <c r="A54" s="155" t="s">
        <v>443</v>
      </c>
      <c r="B54" s="232">
        <f t="shared" ref="B54:G54" si="7">SUM(B34:B53)</f>
        <v>372883061.35966194</v>
      </c>
      <c r="C54" s="232">
        <f t="shared" si="7"/>
        <v>1415394955.6333842</v>
      </c>
      <c r="D54" s="154">
        <f t="shared" si="7"/>
        <v>48283406.542977981</v>
      </c>
      <c r="E54" s="153">
        <f t="shared" si="7"/>
        <v>4571285.3480921285</v>
      </c>
      <c r="F54" s="153">
        <f t="shared" si="7"/>
        <v>3195697.2003229782</v>
      </c>
      <c r="G54" s="37">
        <f t="shared" si="7"/>
        <v>2317000.6206575525</v>
      </c>
      <c r="H54" s="24" t="s">
        <v>453</v>
      </c>
      <c r="I54" s="13"/>
    </row>
    <row r="55" spans="1:11" x14ac:dyDescent="0.3">
      <c r="C55" s="36"/>
    </row>
    <row r="56" spans="1:11" x14ac:dyDescent="0.3">
      <c r="A56" s="60" t="s">
        <v>465</v>
      </c>
    </row>
    <row r="57" spans="1:11" s="11" customFormat="1" x14ac:dyDescent="0.3">
      <c r="A57" s="123"/>
    </row>
    <row r="58" spans="1:11" s="11" customFormat="1" x14ac:dyDescent="0.3">
      <c r="B58" s="162" t="s">
        <v>466</v>
      </c>
      <c r="C58" s="3">
        <f>'RTI amenity value'!B3</f>
        <v>17623575</v>
      </c>
      <c r="D58" s="11" t="str">
        <f>'RTI amenity value'!C3</f>
        <v>Trips per annum 2017/18</v>
      </c>
      <c r="G58" s="11" t="str">
        <f>'RTI amenity value'!F3</f>
        <v>NET and NCT patronage values for separate 12 month periods in 2017/18</v>
      </c>
    </row>
    <row r="59" spans="1:11" s="11" customFormat="1" x14ac:dyDescent="0.3">
      <c r="B59" s="162" t="s">
        <v>470</v>
      </c>
      <c r="C59" s="3">
        <f>C58/2</f>
        <v>8811787.5</v>
      </c>
    </row>
    <row r="60" spans="1:11" s="11" customFormat="1" x14ac:dyDescent="0.3">
      <c r="A60" s="123"/>
      <c r="B60" s="163" t="s">
        <v>467</v>
      </c>
      <c r="C60" s="241">
        <f>H10+H12</f>
        <v>10</v>
      </c>
      <c r="D60" s="11" t="s">
        <v>469</v>
      </c>
      <c r="F60" s="11">
        <f>G10+G12</f>
        <v>21.2</v>
      </c>
      <c r="G60" s="11" t="s">
        <v>690</v>
      </c>
      <c r="I60" s="242">
        <f>$C$59*F60/60*2</f>
        <v>6226996.5</v>
      </c>
      <c r="J60" s="11" t="s">
        <v>692</v>
      </c>
    </row>
    <row r="61" spans="1:11" s="11" customFormat="1" x14ac:dyDescent="0.3">
      <c r="A61" s="123"/>
      <c r="B61" s="163" t="s">
        <v>468</v>
      </c>
      <c r="C61" s="11">
        <f>H11+H13</f>
        <v>7.8</v>
      </c>
      <c r="D61" s="11" t="s">
        <v>469</v>
      </c>
      <c r="F61" s="11">
        <f>G11+G13</f>
        <v>20.6</v>
      </c>
      <c r="G61" s="11" t="s">
        <v>691</v>
      </c>
      <c r="I61" s="242">
        <f>$C$59*F61/60*2</f>
        <v>6050760.75</v>
      </c>
      <c r="J61" s="11" t="s">
        <v>693</v>
      </c>
    </row>
    <row r="62" spans="1:11" s="11" customFormat="1" x14ac:dyDescent="0.3">
      <c r="A62" s="123"/>
      <c r="I62" s="242">
        <f>SUM(I60:I61)</f>
        <v>12277757.25</v>
      </c>
      <c r="J62" s="11" t="s">
        <v>694</v>
      </c>
    </row>
    <row r="63" spans="1:11" x14ac:dyDescent="0.3">
      <c r="A63" s="11" t="s">
        <v>471</v>
      </c>
    </row>
    <row r="64" spans="1:11" x14ac:dyDescent="0.3">
      <c r="A64" s="164">
        <v>2.5</v>
      </c>
      <c r="B64" t="s">
        <v>472</v>
      </c>
      <c r="G64" t="s">
        <v>405</v>
      </c>
      <c r="I64" s="9" t="s">
        <v>463</v>
      </c>
    </row>
    <row r="65" spans="1:5" x14ac:dyDescent="0.3">
      <c r="A65" s="107">
        <f>A64*C58</f>
        <v>44058937.5</v>
      </c>
      <c r="B65" t="s">
        <v>476</v>
      </c>
    </row>
    <row r="66" spans="1:5" x14ac:dyDescent="0.3">
      <c r="A66" s="3">
        <f>A65*(AVERAGE(F10:F13)*2)</f>
        <v>17857978.364992026</v>
      </c>
      <c r="B66" t="s">
        <v>475</v>
      </c>
    </row>
    <row r="67" spans="1:5" x14ac:dyDescent="0.3">
      <c r="A67" s="3">
        <f>A66*10%</f>
        <v>1785797.8364992028</v>
      </c>
      <c r="B67" t="s">
        <v>716</v>
      </c>
    </row>
    <row r="68" spans="1:5" x14ac:dyDescent="0.3">
      <c r="A68" s="107">
        <f>A67/60</f>
        <v>29763.297274986711</v>
      </c>
      <c r="B68" t="s">
        <v>477</v>
      </c>
    </row>
    <row r="69" spans="1:5" x14ac:dyDescent="0.3">
      <c r="A69" s="156">
        <v>1.4</v>
      </c>
      <c r="B69" t="s">
        <v>473</v>
      </c>
      <c r="C69" s="117" t="s">
        <v>458</v>
      </c>
    </row>
    <row r="71" spans="1:5" x14ac:dyDescent="0.3">
      <c r="A71" s="148"/>
      <c r="B71" s="148"/>
      <c r="C71" s="151" t="s">
        <v>460</v>
      </c>
      <c r="D71" s="151" t="s">
        <v>436</v>
      </c>
      <c r="E71" s="151" t="s">
        <v>437</v>
      </c>
    </row>
    <row r="72" spans="1:5" x14ac:dyDescent="0.3">
      <c r="A72" s="151" t="s">
        <v>130</v>
      </c>
      <c r="B72" s="152" t="s">
        <v>474</v>
      </c>
      <c r="C72" s="151" t="s">
        <v>438</v>
      </c>
      <c r="D72" s="151" t="s">
        <v>439</v>
      </c>
      <c r="E72" s="151" t="s">
        <v>439</v>
      </c>
    </row>
    <row r="73" spans="1:5" x14ac:dyDescent="0.3">
      <c r="A73" s="148"/>
      <c r="B73" s="148"/>
      <c r="C73" s="151" t="s">
        <v>451</v>
      </c>
      <c r="D73" s="151" t="s">
        <v>452</v>
      </c>
      <c r="E73" s="151"/>
    </row>
    <row r="74" spans="1:5" x14ac:dyDescent="0.3">
      <c r="A74">
        <v>2019</v>
      </c>
      <c r="B74" s="107">
        <f>$A$68</f>
        <v>29763.297274986711</v>
      </c>
      <c r="C74" s="36">
        <f>B74*'Factors and data'!A73*'Smart TC System JT Savings'!$A$69</f>
        <v>389248.86532853264</v>
      </c>
      <c r="D74" s="36">
        <f>SUM(C74*'Factors and data'!$B$147)/'Factors and data'!B156</f>
        <v>334916.61861115345</v>
      </c>
      <c r="E74" s="36">
        <f>D74*'Factors and data'!C124</f>
        <v>334916.61861115345</v>
      </c>
    </row>
    <row r="75" spans="1:5" x14ac:dyDescent="0.3">
      <c r="A75">
        <v>2020</v>
      </c>
      <c r="B75" s="107">
        <f t="shared" ref="B75:B93" si="8">$A$68</f>
        <v>29763.297274986711</v>
      </c>
      <c r="C75" s="36">
        <f>B75*'Factors and data'!A74*'Smart TC System JT Savings'!$A$69</f>
        <v>392542.66964310873</v>
      </c>
      <c r="D75" s="36">
        <f>SUM(C75*'Factors and data'!$B$147)/'Factors and data'!B157</f>
        <v>331387.39830381895</v>
      </c>
      <c r="E75" s="36">
        <f>D75*'Factors and data'!C125</f>
        <v>319788.83936318528</v>
      </c>
    </row>
    <row r="76" spans="1:5" x14ac:dyDescent="0.3">
      <c r="A76">
        <v>2021</v>
      </c>
      <c r="B76" s="107">
        <f t="shared" si="8"/>
        <v>29763.297274986711</v>
      </c>
      <c r="C76" s="36">
        <f>B76*'Factors and data'!A75*'Smart TC System JT Savings'!$A$69</f>
        <v>396095.3886309542</v>
      </c>
      <c r="D76" s="36">
        <f>SUM(C76*'Factors and data'!$B$147)/'Factors and data'!B158</f>
        <v>328019.4748331568</v>
      </c>
      <c r="E76" s="36">
        <f>D76*'Factors and data'!C126</f>
        <v>305459.9354515064</v>
      </c>
    </row>
    <row r="77" spans="1:5" x14ac:dyDescent="0.3">
      <c r="A77">
        <v>2022</v>
      </c>
      <c r="B77" s="107">
        <f t="shared" si="8"/>
        <v>29763.297274986711</v>
      </c>
      <c r="C77" s="36">
        <f>B77*'Factors and data'!A76*'Smart TC System JT Savings'!$A$69</f>
        <v>399959.38856292749</v>
      </c>
      <c r="D77" s="36">
        <f>SUM(C77*'Factors and data'!$B$147)/'Factors and data'!B159</f>
        <v>324974.2193321198</v>
      </c>
      <c r="E77" s="36">
        <f>D77*'Factors and data'!C127</f>
        <v>292032.27328863885</v>
      </c>
    </row>
    <row r="78" spans="1:5" x14ac:dyDescent="0.3">
      <c r="A78">
        <v>2023</v>
      </c>
      <c r="B78" s="107">
        <f>$A$68</f>
        <v>29763.297274986711</v>
      </c>
      <c r="C78" s="36">
        <f>B78*'Factors and data'!A77*'Smart TC System JT Savings'!$A$69</f>
        <v>404273.36732565158</v>
      </c>
      <c r="D78" s="36">
        <f>SUM(C78*'Factors and data'!$B$147)/'Factors and data'!B160</f>
        <v>322289.30792383384</v>
      </c>
      <c r="E78" s="36">
        <f>D78*'Factors and data'!C128</f>
        <v>279482.84224682103</v>
      </c>
    </row>
    <row r="79" spans="1:5" x14ac:dyDescent="0.3">
      <c r="A79">
        <v>2024</v>
      </c>
      <c r="B79" s="107">
        <f t="shared" si="8"/>
        <v>29763.297274986711</v>
      </c>
      <c r="C79" s="36">
        <f>B79*'Factors and data'!A78*'Smart TC System JT Savings'!$A$69</f>
        <v>409424.93832005956</v>
      </c>
      <c r="D79" s="36">
        <f>SUM(C79*'Factors and data'!$B$147)/'Factors and data'!B161</f>
        <v>319370.03247602831</v>
      </c>
      <c r="E79" s="36">
        <f>D79*'Factors and data'!C129</f>
        <v>267258.00928849255</v>
      </c>
    </row>
    <row r="80" spans="1:5" x14ac:dyDescent="0.3">
      <c r="A80">
        <v>2025</v>
      </c>
      <c r="B80" s="107">
        <f t="shared" si="8"/>
        <v>29763.297274986711</v>
      </c>
      <c r="C80" s="36">
        <f>B80*'Factors and data'!A79*'Smart TC System JT Savings'!$A$69</f>
        <v>415247.73962855054</v>
      </c>
      <c r="D80" s="36">
        <f>SUM(C80*'Factors and data'!$B$147)/'Factors and data'!B162</f>
        <v>316939.41462615272</v>
      </c>
      <c r="E80" s="36">
        <f>D80*'Factors and data'!C130</f>
        <v>255941.15856361526</v>
      </c>
    </row>
    <row r="81" spans="1:6" x14ac:dyDescent="0.3">
      <c r="A81">
        <v>2026</v>
      </c>
      <c r="B81" s="107">
        <f t="shared" si="8"/>
        <v>29763.297274986711</v>
      </c>
      <c r="C81" s="36">
        <f>B81*'Factors and data'!A80*'Smart TC System JT Savings'!$A$69</f>
        <v>421662.6031089786</v>
      </c>
      <c r="D81" s="36">
        <f>SUM(C81*'Factors and data'!$B$147)/'Factors and data'!B163</f>
        <v>314907.61599315697</v>
      </c>
      <c r="E81" s="36">
        <f>D81*'Factors and data'!C131</f>
        <v>245399.8864950701</v>
      </c>
    </row>
    <row r="82" spans="1:6" x14ac:dyDescent="0.3">
      <c r="A82">
        <v>2027</v>
      </c>
      <c r="B82" s="107">
        <f t="shared" si="8"/>
        <v>29763.297274986711</v>
      </c>
      <c r="C82" s="36">
        <f>B82*'Factors and data'!A81*'Smart TC System JT Savings'!$A$69</f>
        <v>428644.53249419742</v>
      </c>
      <c r="D82" s="36">
        <f>SUM(C82*'Factors and data'!$B$147)/'Factors and data'!B164</f>
        <v>313230.80838934897</v>
      </c>
      <c r="E82" s="36">
        <f>D82*'Factors and data'!C132</f>
        <v>235549.92921550831</v>
      </c>
    </row>
    <row r="83" spans="1:6" x14ac:dyDescent="0.3">
      <c r="A83">
        <v>2028</v>
      </c>
      <c r="B83" s="107">
        <f t="shared" si="8"/>
        <v>29763.297274986711</v>
      </c>
      <c r="C83" s="36">
        <f>B83*'Factors and data'!A82*'Smart TC System JT Savings'!$A$69</f>
        <v>436181.18799371301</v>
      </c>
      <c r="D83" s="36">
        <f>SUM(C83*'Factors and data'!$B$147)/'Factors and data'!B165</f>
        <v>311876.90663663164</v>
      </c>
      <c r="E83" s="36">
        <f>D83*'Factors and data'!C133</f>
        <v>226323.18076200926</v>
      </c>
    </row>
    <row r="84" spans="1:6" x14ac:dyDescent="0.3">
      <c r="A84">
        <v>2029</v>
      </c>
      <c r="B84" s="107">
        <f t="shared" si="8"/>
        <v>29763.297274986711</v>
      </c>
      <c r="C84" s="36">
        <f>B84*'Factors and data'!A83*'Smart TC System JT Savings'!$A$69</f>
        <v>444053.89849053492</v>
      </c>
      <c r="D84" s="36">
        <f>SUM(C84*'Factors and data'!$B$147)/'Factors and data'!B166</f>
        <v>310671.25971979386</v>
      </c>
      <c r="E84" s="36">
        <f>D84*'Factors and data'!C134</f>
        <v>217557.5762705901</v>
      </c>
    </row>
    <row r="85" spans="1:6" x14ac:dyDescent="0.3">
      <c r="A85">
        <v>2030</v>
      </c>
      <c r="B85" s="107">
        <f t="shared" si="8"/>
        <v>29763.297274986711</v>
      </c>
      <c r="C85" s="36">
        <f>B85*'Factors and data'!A84*'Smart TC System JT Savings'!$A$69</f>
        <v>452488.3214602482</v>
      </c>
      <c r="D85" s="36">
        <f>SUM(C85*'Factors and data'!$B$147)/'Factors and data'!B167</f>
        <v>309757.52823724033</v>
      </c>
      <c r="E85" s="36">
        <f>D85*'Factors and data'!C135</f>
        <v>209325.58658917143</v>
      </c>
    </row>
    <row r="86" spans="1:6" x14ac:dyDescent="0.3">
      <c r="A86">
        <v>2031</v>
      </c>
      <c r="B86" s="107">
        <f t="shared" si="8"/>
        <v>29763.297274986711</v>
      </c>
      <c r="C86" s="36">
        <f>B86*'Factors and data'!A85*'Smart TC System JT Savings'!$A$69</f>
        <v>461059.23200542625</v>
      </c>
      <c r="D86" s="36">
        <f>SUM(C86*'Factors and data'!$B$147)/'Factors and data'!B168</f>
        <v>308830.59781938448</v>
      </c>
      <c r="E86" s="36">
        <f>D86*'Factors and data'!C136</f>
        <v>201394.72086006976</v>
      </c>
    </row>
    <row r="87" spans="1:6" x14ac:dyDescent="0.3">
      <c r="A87">
        <v>2032</v>
      </c>
      <c r="B87" s="107">
        <f t="shared" si="8"/>
        <v>29763.297274986711</v>
      </c>
      <c r="C87" s="36">
        <f>B87*'Factors and data'!A86*'Smart TC System JT Savings'!$A$69</f>
        <v>469751.80212596466</v>
      </c>
      <c r="D87" s="36">
        <f>SUM(C87*'Factors and data'!$B$147)/'Factors and data'!B169</f>
        <v>307879.77370191348</v>
      </c>
      <c r="E87" s="36">
        <f>D87*'Factors and data'!C137</f>
        <v>193747.55567530129</v>
      </c>
    </row>
    <row r="88" spans="1:6" x14ac:dyDescent="0.3">
      <c r="A88">
        <v>2033</v>
      </c>
      <c r="B88" s="107">
        <f t="shared" si="8"/>
        <v>29763.297274986711</v>
      </c>
      <c r="C88" s="36">
        <f>B88*'Factors and data'!A87*'Smart TC System JT Savings'!$A$69</f>
        <v>478533.3557305758</v>
      </c>
      <c r="D88" s="36">
        <f>SUM(C88*'Factors and data'!$B$147)/'Factors and data'!B170</f>
        <v>306883.84245034528</v>
      </c>
      <c r="E88" s="36">
        <f>D88*'Factors and data'!C138</f>
        <v>186361.59127577371</v>
      </c>
    </row>
    <row r="89" spans="1:6" x14ac:dyDescent="0.3">
      <c r="A89">
        <v>2034</v>
      </c>
      <c r="B89" s="107">
        <f t="shared" si="8"/>
        <v>29763.297274986711</v>
      </c>
      <c r="C89" s="36">
        <f>B89*'Factors and data'!A88*'Smart TC System JT Savings'!$A$69</f>
        <v>487528.79769895825</v>
      </c>
      <c r="D89" s="36">
        <f>SUM(C89*'Factors and data'!$B$147)/'Factors and data'!B171</f>
        <v>305922.33554847824</v>
      </c>
      <c r="E89" s="36">
        <f>D89*'Factors and data'!C139</f>
        <v>179275.47685874312</v>
      </c>
    </row>
    <row r="90" spans="1:6" x14ac:dyDescent="0.3">
      <c r="A90">
        <v>2035</v>
      </c>
      <c r="B90" s="107">
        <f t="shared" si="8"/>
        <v>29763.297274986711</v>
      </c>
      <c r="C90" s="36">
        <f>B90*'Factors and data'!A89*'Smart TC System JT Savings'!$A$69</f>
        <v>496838.47787439101</v>
      </c>
      <c r="D90" s="36">
        <f>SUM(C90*'Factors and data'!$B$147)/'Factors and data'!B172</f>
        <v>305052.95690171036</v>
      </c>
      <c r="E90" s="36">
        <f>D90*'Factors and data'!C140</f>
        <v>172509.19655819138</v>
      </c>
    </row>
    <row r="91" spans="1:6" x14ac:dyDescent="0.3">
      <c r="A91">
        <v>2036</v>
      </c>
      <c r="B91" s="107">
        <f t="shared" si="8"/>
        <v>29763.297274986711</v>
      </c>
      <c r="C91" s="36">
        <f>B91*'Factors and data'!A90*'Smart TC System JT Savings'!$A$69</f>
        <v>506625.8164381049</v>
      </c>
      <c r="D91" s="36">
        <f>SUM(C91*'Factors and data'!$B$147)/'Factors and data'!B173</f>
        <v>304366.21054266463</v>
      </c>
      <c r="E91" s="36">
        <f>D91*'Factors and data'!C141</f>
        <v>166096.60823938774</v>
      </c>
    </row>
    <row r="92" spans="1:6" x14ac:dyDescent="0.3">
      <c r="A92">
        <v>2037</v>
      </c>
      <c r="B92" s="107">
        <f t="shared" si="8"/>
        <v>29763.297274986711</v>
      </c>
      <c r="C92" s="36">
        <f>B92*'Factors and data'!A91*'Smart TC System JT Savings'!$A$69</f>
        <v>516671.36697843933</v>
      </c>
      <c r="D92" s="36">
        <f>SUM(C92*'Factors and data'!$B$147)/'Factors and data'!B174</f>
        <v>303719.46008863283</v>
      </c>
      <c r="E92" s="36">
        <f>D92*'Factors and data'!C142</f>
        <v>159942.63970376045</v>
      </c>
    </row>
    <row r="93" spans="1:6" x14ac:dyDescent="0.3">
      <c r="A93">
        <v>2038</v>
      </c>
      <c r="B93" s="107">
        <f t="shared" si="8"/>
        <v>29763.297274986711</v>
      </c>
      <c r="C93" s="36">
        <f>B93*'Factors and data'!A92*'Smart TC System JT Savings'!$A$69</f>
        <v>526927.52971582231</v>
      </c>
      <c r="D93" s="36">
        <f>SUM(C93*'Factors and data'!$B$147)/'Factors and data'!B175</f>
        <v>303080.65573562356</v>
      </c>
      <c r="E93" s="36">
        <f>D93*'Factors and data'!C143</f>
        <v>154020.0186830257</v>
      </c>
    </row>
    <row r="94" spans="1:6" x14ac:dyDescent="0.3">
      <c r="A94" s="155" t="s">
        <v>443</v>
      </c>
      <c r="B94" s="154">
        <f>SUM(B74:B93)</f>
        <v>595265.94549973414</v>
      </c>
      <c r="C94" s="153">
        <f>SUM(C74:C93)</f>
        <v>8933759.2795551382</v>
      </c>
      <c r="D94" s="153">
        <f>SUM(D74:D93)</f>
        <v>6284076.4178711884</v>
      </c>
      <c r="E94" s="37">
        <f>SUM(E74:E93)</f>
        <v>4602383.6440000152</v>
      </c>
      <c r="F94" s="1" t="s">
        <v>453</v>
      </c>
    </row>
  </sheetData>
  <mergeCells count="2">
    <mergeCell ref="B31:B33"/>
    <mergeCell ref="C31:C33"/>
  </mergeCells>
  <hyperlinks>
    <hyperlink ref="F25" r:id="rId1" xr:uid="{AAA4A0E8-C80A-40ED-95DE-F1A50D383821}"/>
    <hyperlink ref="I64" r:id="rId2" xr:uid="{5B2E95CA-40D7-4462-8145-49067A16A224}"/>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E8E9A-60BD-4343-8EE5-C937ADE5C29E}">
  <sheetPr codeName="Sheet12"/>
  <dimension ref="A1:Y170"/>
  <sheetViews>
    <sheetView topLeftCell="A21" zoomScaleNormal="100" workbookViewId="0">
      <selection activeCell="A111" sqref="A111"/>
    </sheetView>
  </sheetViews>
  <sheetFormatPr defaultRowHeight="14.4" x14ac:dyDescent="0.3"/>
  <cols>
    <col min="1" max="1" width="66.21875" customWidth="1"/>
    <col min="2" max="2" width="20.109375" customWidth="1"/>
    <col min="3" max="3" width="18.109375" customWidth="1"/>
    <col min="4" max="4" width="16.5546875" customWidth="1"/>
    <col min="5" max="5" width="26.44140625" bestFit="1" customWidth="1"/>
    <col min="6" max="6" width="32.33203125" customWidth="1"/>
    <col min="7" max="7" width="24.77734375" customWidth="1"/>
    <col min="8" max="8" width="24.5546875" customWidth="1"/>
    <col min="9" max="9" width="15.5546875" customWidth="1"/>
    <col min="10" max="10" width="12.77734375" customWidth="1"/>
    <col min="11" max="11" width="14.21875" customWidth="1"/>
    <col min="12" max="12" width="36.77734375" customWidth="1"/>
  </cols>
  <sheetData>
    <row r="1" spans="1:10" x14ac:dyDescent="0.3">
      <c r="A1" s="60" t="s">
        <v>479</v>
      </c>
      <c r="B1" s="60"/>
      <c r="C1" s="60"/>
      <c r="D1" s="30"/>
      <c r="E1" s="30"/>
      <c r="F1" s="30"/>
      <c r="G1" s="30"/>
      <c r="H1" s="30"/>
    </row>
    <row r="3" spans="1:10" ht="28.8" x14ac:dyDescent="0.3">
      <c r="A3" s="185" t="s">
        <v>528</v>
      </c>
      <c r="B3" s="185" t="s">
        <v>538</v>
      </c>
      <c r="C3" s="186" t="s">
        <v>540</v>
      </c>
      <c r="D3" s="272" t="s">
        <v>546</v>
      </c>
      <c r="E3" s="272"/>
      <c r="F3" s="272" t="s">
        <v>547</v>
      </c>
      <c r="G3" s="272"/>
    </row>
    <row r="4" spans="1:10" x14ac:dyDescent="0.3">
      <c r="A4" s="261" t="s">
        <v>523</v>
      </c>
      <c r="B4" s="261" t="s">
        <v>536</v>
      </c>
      <c r="C4" s="183">
        <f>'Factors and data'!$C$69</f>
        <v>6.6</v>
      </c>
      <c r="D4">
        <v>5</v>
      </c>
      <c r="E4" t="s">
        <v>524</v>
      </c>
      <c r="F4">
        <f>D4*2</f>
        <v>10</v>
      </c>
      <c r="G4" t="s">
        <v>526</v>
      </c>
    </row>
    <row r="5" spans="1:10" x14ac:dyDescent="0.3">
      <c r="A5" s="261"/>
      <c r="B5" s="261"/>
      <c r="C5" s="183">
        <f>'Factors and data'!$C$69</f>
        <v>6.6</v>
      </c>
      <c r="D5">
        <v>1</v>
      </c>
      <c r="E5" t="s">
        <v>525</v>
      </c>
      <c r="F5">
        <v>1</v>
      </c>
      <c r="G5" t="s">
        <v>527</v>
      </c>
    </row>
    <row r="6" spans="1:10" x14ac:dyDescent="0.3">
      <c r="A6" s="261" t="s">
        <v>529</v>
      </c>
      <c r="B6" s="261" t="s">
        <v>536</v>
      </c>
      <c r="C6" s="183">
        <f>'Factors and data'!$C$69</f>
        <v>6.6</v>
      </c>
      <c r="D6">
        <v>2</v>
      </c>
      <c r="E6" s="11" t="s">
        <v>531</v>
      </c>
      <c r="F6">
        <f>D6</f>
        <v>2</v>
      </c>
      <c r="G6" t="s">
        <v>526</v>
      </c>
    </row>
    <row r="7" spans="1:10" x14ac:dyDescent="0.3">
      <c r="A7" s="261"/>
      <c r="B7" s="261"/>
      <c r="C7" s="183">
        <f>'Factors and data'!$C$69</f>
        <v>6.6</v>
      </c>
      <c r="D7">
        <v>1</v>
      </c>
      <c r="E7" t="s">
        <v>525</v>
      </c>
      <c r="F7">
        <v>1</v>
      </c>
      <c r="G7" t="s">
        <v>527</v>
      </c>
    </row>
    <row r="8" spans="1:10" x14ac:dyDescent="0.3">
      <c r="A8" t="s">
        <v>530</v>
      </c>
      <c r="B8" t="s">
        <v>155</v>
      </c>
      <c r="C8" s="7">
        <f>'Factors and data'!$C$67</f>
        <v>6.2764416000000001</v>
      </c>
      <c r="D8">
        <v>3</v>
      </c>
      <c r="E8" t="s">
        <v>524</v>
      </c>
      <c r="F8">
        <f>D8*2</f>
        <v>6</v>
      </c>
      <c r="G8" t="s">
        <v>526</v>
      </c>
    </row>
    <row r="9" spans="1:10" x14ac:dyDescent="0.3">
      <c r="F9">
        <f>SUM(F4:F8)</f>
        <v>20</v>
      </c>
      <c r="G9" t="s">
        <v>532</v>
      </c>
      <c r="I9" t="s">
        <v>539</v>
      </c>
    </row>
    <row r="10" spans="1:10" x14ac:dyDescent="0.3">
      <c r="A10" t="s">
        <v>533</v>
      </c>
      <c r="C10">
        <v>3</v>
      </c>
      <c r="D10" t="s">
        <v>534</v>
      </c>
      <c r="I10" t="s">
        <v>535</v>
      </c>
    </row>
    <row r="11" spans="1:10" x14ac:dyDescent="0.3">
      <c r="A11" t="s">
        <v>545</v>
      </c>
      <c r="D11" s="15">
        <v>0.75</v>
      </c>
      <c r="I11" t="s">
        <v>549</v>
      </c>
    </row>
    <row r="12" spans="1:10" x14ac:dyDescent="0.3">
      <c r="A12" s="95" t="s">
        <v>227</v>
      </c>
      <c r="B12" s="96"/>
      <c r="C12" s="96"/>
      <c r="D12" s="97">
        <f>'Mode shift to bus+tram'!A20</f>
        <v>1.57</v>
      </c>
      <c r="E12" s="96" t="s">
        <v>229</v>
      </c>
      <c r="F12" s="96"/>
      <c r="G12" s="16" t="s">
        <v>281</v>
      </c>
      <c r="H12" s="16"/>
      <c r="I12" t="s">
        <v>231</v>
      </c>
      <c r="J12" s="16" t="s">
        <v>232</v>
      </c>
    </row>
    <row r="13" spans="1:10" x14ac:dyDescent="0.3">
      <c r="A13" s="95" t="s">
        <v>548</v>
      </c>
      <c r="B13" s="96"/>
      <c r="C13" s="96"/>
      <c r="D13" s="187">
        <v>220</v>
      </c>
      <c r="E13" s="96"/>
      <c r="F13" s="96"/>
      <c r="G13" s="16"/>
      <c r="H13" s="16"/>
      <c r="I13" s="16"/>
    </row>
    <row r="15" spans="1:10" x14ac:dyDescent="0.3">
      <c r="A15" s="1" t="s">
        <v>541</v>
      </c>
    </row>
    <row r="16" spans="1:10" ht="28.8" x14ac:dyDescent="0.3">
      <c r="A16" s="186" t="s">
        <v>528</v>
      </c>
      <c r="B16" s="186" t="s">
        <v>538</v>
      </c>
      <c r="C16" s="186" t="s">
        <v>540</v>
      </c>
      <c r="D16" s="186" t="s">
        <v>542</v>
      </c>
      <c r="E16" s="186" t="s">
        <v>543</v>
      </c>
      <c r="F16" s="186" t="s">
        <v>550</v>
      </c>
      <c r="G16" s="186" t="s">
        <v>544</v>
      </c>
      <c r="H16" s="186" t="s">
        <v>551</v>
      </c>
    </row>
    <row r="17" spans="1:8" x14ac:dyDescent="0.3">
      <c r="A17" s="261" t="s">
        <v>523</v>
      </c>
      <c r="B17" s="261" t="s">
        <v>536</v>
      </c>
      <c r="C17" s="183">
        <f>'Factors and data'!$C$69</f>
        <v>6.6</v>
      </c>
      <c r="D17">
        <f>F4</f>
        <v>10</v>
      </c>
      <c r="E17">
        <f>D17*$C$10</f>
        <v>30</v>
      </c>
      <c r="F17">
        <f>(E17*2)*$D$11</f>
        <v>45</v>
      </c>
      <c r="G17" s="8">
        <f>F17*C4</f>
        <v>297</v>
      </c>
      <c r="H17" s="8">
        <f>F17*$D$12</f>
        <v>70.650000000000006</v>
      </c>
    </row>
    <row r="18" spans="1:8" x14ac:dyDescent="0.3">
      <c r="A18" s="261"/>
      <c r="B18" s="261"/>
      <c r="C18" s="183">
        <f>'Factors and data'!$C$69</f>
        <v>6.6</v>
      </c>
      <c r="D18">
        <f t="shared" ref="D18:D21" si="0">F5</f>
        <v>1</v>
      </c>
      <c r="E18">
        <f t="shared" ref="E18:E21" si="1">D18*$C$10</f>
        <v>3</v>
      </c>
      <c r="F18">
        <f t="shared" ref="F18:F21" si="2">(E18*2)*$D$11</f>
        <v>4.5</v>
      </c>
      <c r="G18" s="8">
        <f>F18*C5</f>
        <v>29.7</v>
      </c>
      <c r="H18" s="8">
        <f t="shared" ref="H18:H21" si="3">F18*$D$12</f>
        <v>7.0650000000000004</v>
      </c>
    </row>
    <row r="19" spans="1:8" x14ac:dyDescent="0.3">
      <c r="A19" s="261" t="s">
        <v>529</v>
      </c>
      <c r="B19" s="261" t="s">
        <v>536</v>
      </c>
      <c r="C19" s="183">
        <f>'Factors and data'!$C$69</f>
        <v>6.6</v>
      </c>
      <c r="D19">
        <f t="shared" si="0"/>
        <v>2</v>
      </c>
      <c r="E19">
        <f t="shared" si="1"/>
        <v>6</v>
      </c>
      <c r="F19">
        <f t="shared" si="2"/>
        <v>9</v>
      </c>
      <c r="G19" s="8">
        <f>F19*C6</f>
        <v>59.4</v>
      </c>
      <c r="H19" s="8">
        <f t="shared" si="3"/>
        <v>14.13</v>
      </c>
    </row>
    <row r="20" spans="1:8" x14ac:dyDescent="0.3">
      <c r="A20" s="261"/>
      <c r="B20" s="261"/>
      <c r="C20" s="183">
        <f>'Factors and data'!$C$69</f>
        <v>6.6</v>
      </c>
      <c r="D20">
        <f t="shared" si="0"/>
        <v>1</v>
      </c>
      <c r="E20">
        <f t="shared" si="1"/>
        <v>3</v>
      </c>
      <c r="F20">
        <f t="shared" si="2"/>
        <v>4.5</v>
      </c>
      <c r="G20" s="8">
        <f>F20*C7</f>
        <v>29.7</v>
      </c>
      <c r="H20" s="8">
        <f t="shared" si="3"/>
        <v>7.0650000000000004</v>
      </c>
    </row>
    <row r="21" spans="1:8" x14ac:dyDescent="0.3">
      <c r="A21" t="s">
        <v>530</v>
      </c>
      <c r="B21" t="s">
        <v>155</v>
      </c>
      <c r="C21" s="7">
        <f>'Factors and data'!$C$67</f>
        <v>6.2764416000000001</v>
      </c>
      <c r="D21">
        <f t="shared" si="0"/>
        <v>6</v>
      </c>
      <c r="E21">
        <f t="shared" si="1"/>
        <v>18</v>
      </c>
      <c r="F21">
        <f t="shared" si="2"/>
        <v>27</v>
      </c>
      <c r="G21" s="8">
        <f>F21*C8</f>
        <v>169.46392320000001</v>
      </c>
      <c r="H21" s="8">
        <f t="shared" si="3"/>
        <v>42.39</v>
      </c>
    </row>
    <row r="22" spans="1:8" x14ac:dyDescent="0.3">
      <c r="C22" s="7"/>
      <c r="F22" s="155" t="s">
        <v>443</v>
      </c>
      <c r="G22" s="188">
        <f>SUM(G17:G21)</f>
        <v>585.26392319999991</v>
      </c>
      <c r="H22" s="188">
        <f>SUM(H17:H21)</f>
        <v>141.30000000000001</v>
      </c>
    </row>
    <row r="23" spans="1:8" x14ac:dyDescent="0.3">
      <c r="A23" t="s">
        <v>552</v>
      </c>
      <c r="C23" s="7"/>
    </row>
    <row r="24" spans="1:8" x14ac:dyDescent="0.3">
      <c r="A24" t="s">
        <v>555</v>
      </c>
      <c r="D24" s="3">
        <f>0-G22*D13</f>
        <v>-128758.06310399999</v>
      </c>
    </row>
    <row r="25" spans="1:8" x14ac:dyDescent="0.3">
      <c r="A25" t="s">
        <v>553</v>
      </c>
      <c r="C25" s="7"/>
      <c r="D25" s="3">
        <f>H22*D13*D11</f>
        <v>23314.500000000004</v>
      </c>
    </row>
    <row r="26" spans="1:8" x14ac:dyDescent="0.3">
      <c r="A26" t="s">
        <v>554</v>
      </c>
      <c r="C26" s="7"/>
      <c r="D26" s="107">
        <f>0-D25</f>
        <v>-23314.500000000004</v>
      </c>
      <c r="E26" s="118"/>
    </row>
    <row r="27" spans="1:8" x14ac:dyDescent="0.3">
      <c r="C27" s="7"/>
      <c r="D27" s="107"/>
    </row>
    <row r="28" spans="1:8" x14ac:dyDescent="0.3">
      <c r="C28" s="7"/>
      <c r="D28" s="107"/>
    </row>
    <row r="29" spans="1:8" x14ac:dyDescent="0.3">
      <c r="A29" s="1" t="s">
        <v>556</v>
      </c>
      <c r="C29" s="7"/>
      <c r="D29" s="107"/>
    </row>
    <row r="30" spans="1:8" x14ac:dyDescent="0.3">
      <c r="C30" s="7"/>
      <c r="D30" s="107"/>
    </row>
    <row r="31" spans="1:8" x14ac:dyDescent="0.3">
      <c r="A31" s="16" t="s">
        <v>674</v>
      </c>
      <c r="B31" s="16"/>
      <c r="C31" s="16"/>
      <c r="D31" s="16"/>
      <c r="E31" s="16"/>
    </row>
    <row r="32" spans="1:8" x14ac:dyDescent="0.3">
      <c r="A32" s="16" t="s">
        <v>160</v>
      </c>
      <c r="B32" s="66" t="s">
        <v>296</v>
      </c>
      <c r="C32" s="66" t="s">
        <v>161</v>
      </c>
      <c r="D32" s="96"/>
      <c r="E32" s="16" t="s">
        <v>300</v>
      </c>
      <c r="F32" s="16" t="s">
        <v>167</v>
      </c>
    </row>
    <row r="33" spans="1:8" x14ac:dyDescent="0.3">
      <c r="A33">
        <v>2019</v>
      </c>
      <c r="B33" s="107">
        <f>$D$25</f>
        <v>23314.500000000004</v>
      </c>
      <c r="C33" s="189">
        <f>$B$33*AVERAGE($C$17:$C$21)</f>
        <v>152366.97953664002</v>
      </c>
      <c r="D33" s="96"/>
      <c r="E33" s="107">
        <f>0-$D$26</f>
        <v>23314.500000000004</v>
      </c>
      <c r="F33" s="107">
        <f>0-$D$24</f>
        <v>128758.06310399999</v>
      </c>
    </row>
    <row r="34" spans="1:8" x14ac:dyDescent="0.3">
      <c r="A34">
        <v>2020</v>
      </c>
      <c r="B34" s="107">
        <f t="shared" ref="B34:B52" si="4">$D$25</f>
        <v>23314.500000000004</v>
      </c>
      <c r="C34" s="189">
        <f t="shared" ref="C34:C52" si="5">$B$33*AVERAGE($C$17:$C$21)</f>
        <v>152366.97953664002</v>
      </c>
      <c r="D34" s="31"/>
      <c r="E34" s="107">
        <f t="shared" ref="E34:E52" si="6">0-$D$26</f>
        <v>23314.500000000004</v>
      </c>
      <c r="F34" s="107">
        <f t="shared" ref="F34:F52" si="7">0-$D$24</f>
        <v>128758.06310399999</v>
      </c>
    </row>
    <row r="35" spans="1:8" x14ac:dyDescent="0.3">
      <c r="A35">
        <v>2021</v>
      </c>
      <c r="B35" s="107">
        <f t="shared" si="4"/>
        <v>23314.500000000004</v>
      </c>
      <c r="C35" s="189">
        <f t="shared" si="5"/>
        <v>152366.97953664002</v>
      </c>
      <c r="D35" s="31"/>
      <c r="E35" s="107">
        <f t="shared" si="6"/>
        <v>23314.500000000004</v>
      </c>
      <c r="F35" s="107">
        <f t="shared" si="7"/>
        <v>128758.06310399999</v>
      </c>
    </row>
    <row r="36" spans="1:8" x14ac:dyDescent="0.3">
      <c r="A36">
        <v>2022</v>
      </c>
      <c r="B36" s="107">
        <f t="shared" si="4"/>
        <v>23314.500000000004</v>
      </c>
      <c r="C36" s="189">
        <f t="shared" si="5"/>
        <v>152366.97953664002</v>
      </c>
      <c r="D36" s="31"/>
      <c r="E36" s="107">
        <f t="shared" si="6"/>
        <v>23314.500000000004</v>
      </c>
      <c r="F36" s="107">
        <f t="shared" si="7"/>
        <v>128758.06310399999</v>
      </c>
    </row>
    <row r="37" spans="1:8" x14ac:dyDescent="0.3">
      <c r="A37">
        <v>2023</v>
      </c>
      <c r="B37" s="107">
        <f t="shared" si="4"/>
        <v>23314.500000000004</v>
      </c>
      <c r="C37" s="189">
        <f t="shared" si="5"/>
        <v>152366.97953664002</v>
      </c>
      <c r="D37" s="31"/>
      <c r="E37" s="107">
        <f t="shared" si="6"/>
        <v>23314.500000000004</v>
      </c>
      <c r="F37" s="107">
        <f t="shared" si="7"/>
        <v>128758.06310399999</v>
      </c>
    </row>
    <row r="38" spans="1:8" x14ac:dyDescent="0.3">
      <c r="A38">
        <v>2024</v>
      </c>
      <c r="B38" s="107">
        <f t="shared" si="4"/>
        <v>23314.500000000004</v>
      </c>
      <c r="C38" s="189">
        <f t="shared" si="5"/>
        <v>152366.97953664002</v>
      </c>
      <c r="D38" s="31"/>
      <c r="E38" s="107">
        <f t="shared" si="6"/>
        <v>23314.500000000004</v>
      </c>
      <c r="F38" s="107">
        <f t="shared" si="7"/>
        <v>128758.06310399999</v>
      </c>
    </row>
    <row r="39" spans="1:8" x14ac:dyDescent="0.3">
      <c r="A39">
        <v>2025</v>
      </c>
      <c r="B39" s="107">
        <f t="shared" si="4"/>
        <v>23314.500000000004</v>
      </c>
      <c r="C39" s="189">
        <f t="shared" si="5"/>
        <v>152366.97953664002</v>
      </c>
      <c r="D39" s="31"/>
      <c r="E39" s="107">
        <f t="shared" si="6"/>
        <v>23314.500000000004</v>
      </c>
      <c r="F39" s="107">
        <f t="shared" si="7"/>
        <v>128758.06310399999</v>
      </c>
    </row>
    <row r="40" spans="1:8" x14ac:dyDescent="0.3">
      <c r="A40">
        <v>2026</v>
      </c>
      <c r="B40" s="107">
        <f t="shared" si="4"/>
        <v>23314.500000000004</v>
      </c>
      <c r="C40" s="189">
        <f t="shared" si="5"/>
        <v>152366.97953664002</v>
      </c>
      <c r="D40" s="31"/>
      <c r="E40" s="107">
        <f t="shared" si="6"/>
        <v>23314.500000000004</v>
      </c>
      <c r="F40" s="107">
        <f t="shared" si="7"/>
        <v>128758.06310399999</v>
      </c>
    </row>
    <row r="41" spans="1:8" x14ac:dyDescent="0.3">
      <c r="A41">
        <v>2027</v>
      </c>
      <c r="B41" s="107">
        <f t="shared" si="4"/>
        <v>23314.500000000004</v>
      </c>
      <c r="C41" s="189">
        <f t="shared" si="5"/>
        <v>152366.97953664002</v>
      </c>
      <c r="D41" s="31"/>
      <c r="E41" s="107">
        <f t="shared" si="6"/>
        <v>23314.500000000004</v>
      </c>
      <c r="F41" s="107">
        <f t="shared" si="7"/>
        <v>128758.06310399999</v>
      </c>
    </row>
    <row r="42" spans="1:8" x14ac:dyDescent="0.3">
      <c r="A42">
        <v>2028</v>
      </c>
      <c r="B42" s="107">
        <f t="shared" si="4"/>
        <v>23314.500000000004</v>
      </c>
      <c r="C42" s="189">
        <f t="shared" si="5"/>
        <v>152366.97953664002</v>
      </c>
      <c r="D42" s="31"/>
      <c r="E42" s="107">
        <f t="shared" si="6"/>
        <v>23314.500000000004</v>
      </c>
      <c r="F42" s="107">
        <f t="shared" si="7"/>
        <v>128758.06310399999</v>
      </c>
    </row>
    <row r="43" spans="1:8" x14ac:dyDescent="0.3">
      <c r="A43">
        <v>2029</v>
      </c>
      <c r="B43" s="107">
        <f t="shared" si="4"/>
        <v>23314.500000000004</v>
      </c>
      <c r="C43" s="189">
        <f t="shared" si="5"/>
        <v>152366.97953664002</v>
      </c>
      <c r="D43" s="31"/>
      <c r="E43" s="107">
        <f t="shared" si="6"/>
        <v>23314.500000000004</v>
      </c>
      <c r="F43" s="107">
        <f t="shared" si="7"/>
        <v>128758.06310399999</v>
      </c>
    </row>
    <row r="44" spans="1:8" x14ac:dyDescent="0.3">
      <c r="A44">
        <v>2030</v>
      </c>
      <c r="B44" s="107">
        <f t="shared" si="4"/>
        <v>23314.500000000004</v>
      </c>
      <c r="C44" s="189">
        <f t="shared" si="5"/>
        <v>152366.97953664002</v>
      </c>
      <c r="D44" s="31"/>
      <c r="E44" s="107">
        <f t="shared" si="6"/>
        <v>23314.500000000004</v>
      </c>
      <c r="F44" s="107">
        <f t="shared" si="7"/>
        <v>128758.06310399999</v>
      </c>
    </row>
    <row r="45" spans="1:8" x14ac:dyDescent="0.3">
      <c r="A45">
        <v>2031</v>
      </c>
      <c r="B45" s="107">
        <f t="shared" si="4"/>
        <v>23314.500000000004</v>
      </c>
      <c r="C45" s="189">
        <f t="shared" si="5"/>
        <v>152366.97953664002</v>
      </c>
      <c r="D45" s="31"/>
      <c r="E45" s="107">
        <f t="shared" si="6"/>
        <v>23314.500000000004</v>
      </c>
      <c r="F45" s="107">
        <f t="shared" si="7"/>
        <v>128758.06310399999</v>
      </c>
    </row>
    <row r="46" spans="1:8" x14ac:dyDescent="0.3">
      <c r="A46">
        <v>2032</v>
      </c>
      <c r="B46" s="107">
        <f t="shared" si="4"/>
        <v>23314.500000000004</v>
      </c>
      <c r="C46" s="189">
        <f t="shared" si="5"/>
        <v>152366.97953664002</v>
      </c>
      <c r="D46" s="31"/>
      <c r="E46" s="107">
        <f t="shared" si="6"/>
        <v>23314.500000000004</v>
      </c>
      <c r="F46" s="107">
        <f t="shared" si="7"/>
        <v>128758.06310399999</v>
      </c>
    </row>
    <row r="47" spans="1:8" x14ac:dyDescent="0.3">
      <c r="A47">
        <v>2033</v>
      </c>
      <c r="B47" s="107">
        <f t="shared" si="4"/>
        <v>23314.500000000004</v>
      </c>
      <c r="C47" s="189">
        <f t="shared" si="5"/>
        <v>152366.97953664002</v>
      </c>
      <c r="D47" s="30"/>
      <c r="E47" s="107">
        <f t="shared" si="6"/>
        <v>23314.500000000004</v>
      </c>
      <c r="F47" s="107">
        <f t="shared" si="7"/>
        <v>128758.06310399999</v>
      </c>
    </row>
    <row r="48" spans="1:8" x14ac:dyDescent="0.3">
      <c r="A48">
        <v>2034</v>
      </c>
      <c r="B48" s="107">
        <f t="shared" si="4"/>
        <v>23314.500000000004</v>
      </c>
      <c r="C48" s="189">
        <f t="shared" si="5"/>
        <v>152366.97953664002</v>
      </c>
      <c r="D48" s="30"/>
      <c r="E48" s="107">
        <f t="shared" si="6"/>
        <v>23314.500000000004</v>
      </c>
      <c r="F48" s="107">
        <f t="shared" si="7"/>
        <v>128758.06310399999</v>
      </c>
      <c r="G48" s="30"/>
      <c r="H48" s="30"/>
    </row>
    <row r="49" spans="1:11" x14ac:dyDescent="0.3">
      <c r="A49">
        <v>2035</v>
      </c>
      <c r="B49" s="107">
        <f t="shared" si="4"/>
        <v>23314.500000000004</v>
      </c>
      <c r="C49" s="189">
        <f t="shared" si="5"/>
        <v>152366.97953664002</v>
      </c>
      <c r="D49" s="30"/>
      <c r="E49" s="107">
        <f t="shared" si="6"/>
        <v>23314.500000000004</v>
      </c>
      <c r="F49" s="107">
        <f t="shared" si="7"/>
        <v>128758.06310399999</v>
      </c>
      <c r="G49" s="30"/>
      <c r="H49" s="30"/>
    </row>
    <row r="50" spans="1:11" x14ac:dyDescent="0.3">
      <c r="A50">
        <v>2036</v>
      </c>
      <c r="B50" s="107">
        <f t="shared" si="4"/>
        <v>23314.500000000004</v>
      </c>
      <c r="C50" s="189">
        <f t="shared" si="5"/>
        <v>152366.97953664002</v>
      </c>
      <c r="D50" s="30"/>
      <c r="E50" s="107">
        <f t="shared" si="6"/>
        <v>23314.500000000004</v>
      </c>
      <c r="F50" s="107">
        <f t="shared" si="7"/>
        <v>128758.06310399999</v>
      </c>
      <c r="G50" s="30"/>
      <c r="H50" s="30"/>
    </row>
    <row r="51" spans="1:11" x14ac:dyDescent="0.3">
      <c r="A51">
        <v>2037</v>
      </c>
      <c r="B51" s="107">
        <f t="shared" si="4"/>
        <v>23314.500000000004</v>
      </c>
      <c r="C51" s="189">
        <f t="shared" si="5"/>
        <v>152366.97953664002</v>
      </c>
      <c r="D51" s="30"/>
      <c r="E51" s="107">
        <f t="shared" si="6"/>
        <v>23314.500000000004</v>
      </c>
      <c r="F51" s="107">
        <f t="shared" si="7"/>
        <v>128758.06310399999</v>
      </c>
      <c r="G51" s="30"/>
      <c r="H51" s="30"/>
    </row>
    <row r="52" spans="1:11" x14ac:dyDescent="0.3">
      <c r="A52">
        <v>2038</v>
      </c>
      <c r="B52" s="107">
        <f t="shared" si="4"/>
        <v>23314.500000000004</v>
      </c>
      <c r="C52" s="189">
        <f t="shared" si="5"/>
        <v>152366.97953664002</v>
      </c>
      <c r="D52" s="30"/>
      <c r="E52" s="107">
        <f t="shared" si="6"/>
        <v>23314.500000000004</v>
      </c>
      <c r="F52" s="107">
        <f t="shared" si="7"/>
        <v>128758.06310399999</v>
      </c>
      <c r="G52" s="30"/>
      <c r="H52" s="30"/>
    </row>
    <row r="53" spans="1:11" x14ac:dyDescent="0.3">
      <c r="A53" s="155" t="s">
        <v>443</v>
      </c>
      <c r="B53" s="107">
        <f>SUM(B32:B52)</f>
        <v>466290.00000000006</v>
      </c>
      <c r="C53" s="107">
        <f>SUM(C32:C52)</f>
        <v>3047339.5907328003</v>
      </c>
      <c r="D53" s="30"/>
      <c r="E53" s="107">
        <f>SUM(E32:E52)</f>
        <v>466290.00000000006</v>
      </c>
      <c r="F53" s="107">
        <f>SUM(F32:F52)</f>
        <v>2575161.2620799993</v>
      </c>
    </row>
    <row r="55" spans="1:11" x14ac:dyDescent="0.3">
      <c r="A55" t="s">
        <v>557</v>
      </c>
    </row>
    <row r="56" spans="1:11" x14ac:dyDescent="0.3">
      <c r="K56" t="s">
        <v>122</v>
      </c>
    </row>
    <row r="57" spans="1:11" x14ac:dyDescent="0.3">
      <c r="A57" t="str">
        <f>'Factors and data'!A269</f>
        <v>Total</v>
      </c>
      <c r="B57" t="str">
        <f>'Factors and data'!B271</f>
        <v>Congestion</v>
      </c>
      <c r="C57" t="str">
        <f>'Factors and data'!C271</f>
        <v>Infrastructure</v>
      </c>
      <c r="D57" t="str">
        <f>'Factors and data'!D271</f>
        <v>Accident</v>
      </c>
      <c r="E57" t="str">
        <f>'Factors and data'!E271</f>
        <v>Local Air Quality</v>
      </c>
      <c r="F57" t="str">
        <f>'Factors and data'!F271</f>
        <v>Noise</v>
      </c>
      <c r="G57" t="str">
        <f>'Factors and data'!G271</f>
        <v>Greenhouse Gases</v>
      </c>
      <c r="H57" t="str">
        <f>'Factors and data'!H271</f>
        <v>Indirect Taxation</v>
      </c>
      <c r="I57" t="s">
        <v>449</v>
      </c>
      <c r="J57" t="s">
        <v>450</v>
      </c>
      <c r="K57" t="s">
        <v>82</v>
      </c>
    </row>
    <row r="58" spans="1:11" x14ac:dyDescent="0.3">
      <c r="A58">
        <f>A33</f>
        <v>2019</v>
      </c>
      <c r="B58" s="62">
        <f>SUM('Factors and data'!B272/100)*$F33</f>
        <v>42534.143093726743</v>
      </c>
      <c r="C58" s="62">
        <f>SUM('Factors and data'!C272/100)*$F33</f>
        <v>138.90486543647293</v>
      </c>
      <c r="D58" s="62">
        <f>SUM('Factors and data'!D272/100)*$F33</f>
        <v>4167.1459630941881</v>
      </c>
      <c r="E58" s="62">
        <v>0</v>
      </c>
      <c r="F58" s="62">
        <f>SUM('Factors and data'!F272/100)*$F33</f>
        <v>277.80973087294586</v>
      </c>
      <c r="G58" s="62">
        <v>0</v>
      </c>
      <c r="H58" s="62">
        <f>SUM('Factors and data'!H272/100)*$F33</f>
        <v>-5075.5605390214641</v>
      </c>
      <c r="I58" s="62">
        <f>SUM(B58:H58)</f>
        <v>42042.443114108893</v>
      </c>
      <c r="J58" s="36">
        <f>SUM(I58/'Factors and data'!$B156)*'Factors and data'!$B$147</f>
        <v>36174.062765847149</v>
      </c>
      <c r="K58" s="36">
        <f>J58*'Factors and data'!C124</f>
        <v>36174.062765847149</v>
      </c>
    </row>
    <row r="59" spans="1:11" x14ac:dyDescent="0.3">
      <c r="A59">
        <f t="shared" ref="A59:A77" si="8">A34</f>
        <v>2020</v>
      </c>
      <c r="B59" s="62">
        <f>SUM('Factors and data'!B273/100)*$F34</f>
        <v>51591.503503943837</v>
      </c>
      <c r="C59" s="62">
        <f>SUM('Factors and data'!C273/100)*$F34</f>
        <v>151.36388772379698</v>
      </c>
      <c r="D59" s="62">
        <f>SUM('Factors and data'!D273/100)*$F34</f>
        <v>4540.9166317139097</v>
      </c>
      <c r="E59" s="62">
        <v>0</v>
      </c>
      <c r="F59" s="62">
        <f>SUM('Factors and data'!F273/100)*$F34</f>
        <v>302.72777544759396</v>
      </c>
      <c r="G59" s="62">
        <v>0</v>
      </c>
      <c r="H59" s="62">
        <f>SUM('Factors and data'!H273/100)*$F34</f>
        <v>-4469.6421602881064</v>
      </c>
      <c r="I59" s="62">
        <f t="shared" ref="I59:I77" si="9">SUM(B59:H59)</f>
        <v>52116.869638541029</v>
      </c>
      <c r="J59" s="36">
        <f>SUM(I59/'Factors and data'!$B157)*'Factors and data'!$B$147</f>
        <v>43997.443266378432</v>
      </c>
      <c r="K59" s="36">
        <f>J59*'Factors and data'!C125</f>
        <v>42457.532752055187</v>
      </c>
    </row>
    <row r="60" spans="1:11" x14ac:dyDescent="0.3">
      <c r="A60">
        <f t="shared" si="8"/>
        <v>2021</v>
      </c>
      <c r="B60" s="62">
        <f>SUM('Factors and data'!B274/100)*$F35</f>
        <v>51591.503503943837</v>
      </c>
      <c r="C60" s="62">
        <f>SUM('Factors and data'!C274/100)*$F35</f>
        <v>151.36388772379698</v>
      </c>
      <c r="D60" s="62">
        <f>SUM('Factors and data'!D274/100)*$F35</f>
        <v>4540.9166317139097</v>
      </c>
      <c r="E60" s="62">
        <v>0</v>
      </c>
      <c r="F60" s="62">
        <f>SUM('Factors and data'!F274/100)*$F35</f>
        <v>302.72777544759396</v>
      </c>
      <c r="G60" s="62">
        <v>0</v>
      </c>
      <c r="H60" s="62">
        <f>SUM('Factors and data'!H274/100)*$F35</f>
        <v>-4469.6421602881064</v>
      </c>
      <c r="I60" s="62">
        <f t="shared" si="9"/>
        <v>52116.869638541029</v>
      </c>
      <c r="J60" s="36">
        <f>SUM(I60/'Factors and data'!$B158)*'Factors and data'!$B$147</f>
        <v>43159.674915352829</v>
      </c>
      <c r="K60" s="36">
        <f>J60*'Factors and data'!C126</f>
        <v>40191.36827304944</v>
      </c>
    </row>
    <row r="61" spans="1:11" x14ac:dyDescent="0.3">
      <c r="A61">
        <f t="shared" si="8"/>
        <v>2022</v>
      </c>
      <c r="B61" s="62">
        <f>SUM('Factors and data'!B275/100)*$F36</f>
        <v>51591.503503943837</v>
      </c>
      <c r="C61" s="62">
        <f>SUM('Factors and data'!C275/100)*$F36</f>
        <v>151.36388772379698</v>
      </c>
      <c r="D61" s="62">
        <f>SUM('Factors and data'!D275/100)*$F36</f>
        <v>4540.9166317139097</v>
      </c>
      <c r="E61" s="62">
        <v>0</v>
      </c>
      <c r="F61" s="62">
        <f>SUM('Factors and data'!F275/100)*$F36</f>
        <v>302.72777544759396</v>
      </c>
      <c r="G61" s="62">
        <v>0</v>
      </c>
      <c r="H61" s="62">
        <f>SUM('Factors and data'!H275/100)*$F36</f>
        <v>-4469.6421602881064</v>
      </c>
      <c r="I61" s="62">
        <f t="shared" si="9"/>
        <v>52116.869638541029</v>
      </c>
      <c r="J61" s="36">
        <f>SUM(I61/'Factors and data'!$B159)*'Factors and data'!$B$147</f>
        <v>42345.896881363013</v>
      </c>
      <c r="K61" s="36">
        <f>J61*'Factors and data'!C127</f>
        <v>38053.383299530113</v>
      </c>
    </row>
    <row r="62" spans="1:11" x14ac:dyDescent="0.3">
      <c r="A62">
        <f t="shared" si="8"/>
        <v>2023</v>
      </c>
      <c r="B62" s="62">
        <f>SUM('Factors and data'!B276/100)*$F37</f>
        <v>51591.503503943837</v>
      </c>
      <c r="C62" s="62">
        <f>SUM('Factors and data'!C276/100)*$F37</f>
        <v>151.36388772379698</v>
      </c>
      <c r="D62" s="62">
        <f>SUM('Factors and data'!D276/100)*$F37</f>
        <v>4540.9166317139097</v>
      </c>
      <c r="E62" s="62">
        <v>0</v>
      </c>
      <c r="F62" s="62">
        <f>SUM('Factors and data'!F276/100)*$F37</f>
        <v>302.72777544759396</v>
      </c>
      <c r="G62" s="62">
        <v>0</v>
      </c>
      <c r="H62" s="62">
        <f>SUM('Factors and data'!H276/100)*$F37</f>
        <v>-4469.6421602881064</v>
      </c>
      <c r="I62" s="62">
        <f t="shared" si="9"/>
        <v>52116.869638541029</v>
      </c>
      <c r="J62" s="36">
        <f>SUM(I62/'Factors and data'!$B160)*'Factors and data'!$B$147</f>
        <v>41547.9010108324</v>
      </c>
      <c r="K62" s="36">
        <f>J62*'Factors and data'!C128</f>
        <v>36029.508824541073</v>
      </c>
    </row>
    <row r="63" spans="1:11" x14ac:dyDescent="0.3">
      <c r="A63">
        <f t="shared" si="8"/>
        <v>2024</v>
      </c>
      <c r="B63" s="62">
        <f>SUM('Factors and data'!B277/100)*$F38</f>
        <v>51591.503503943837</v>
      </c>
      <c r="C63" s="62">
        <f>SUM('Factors and data'!C277/100)*$F38</f>
        <v>151.36388772379698</v>
      </c>
      <c r="D63" s="62">
        <f>SUM('Factors and data'!D277/100)*$F38</f>
        <v>4540.9166317139097</v>
      </c>
      <c r="E63" s="62">
        <v>0</v>
      </c>
      <c r="F63" s="62">
        <f>SUM('Factors and data'!F277/100)*$F38</f>
        <v>302.72777544759396</v>
      </c>
      <c r="G63" s="62">
        <v>0</v>
      </c>
      <c r="H63" s="62">
        <f>SUM('Factors and data'!H277/100)*$F38</f>
        <v>-4469.6421602881064</v>
      </c>
      <c r="I63" s="62">
        <f t="shared" si="9"/>
        <v>52116.869638541029</v>
      </c>
      <c r="J63" s="36">
        <f>SUM(I63/'Factors and data'!$B161)*'Factors and data'!$B$147</f>
        <v>40653.523493965171</v>
      </c>
      <c r="K63" s="36">
        <f>J63*'Factors and data'!C129</f>
        <v>34020.035240393481</v>
      </c>
    </row>
    <row r="64" spans="1:11" x14ac:dyDescent="0.3">
      <c r="A64">
        <f t="shared" si="8"/>
        <v>2025</v>
      </c>
      <c r="B64" s="62">
        <f>SUM('Factors and data'!B278/100)*$F39</f>
        <v>61693.246284663954</v>
      </c>
      <c r="C64" s="62">
        <f>SUM('Factors and data'!C278/100)*$F39</f>
        <v>167.33154724893555</v>
      </c>
      <c r="D64" s="62">
        <f>SUM('Factors and data'!D278/100)*$F39</f>
        <v>5019.9464174680661</v>
      </c>
      <c r="E64" s="62">
        <v>0</v>
      </c>
      <c r="F64" s="62">
        <f>SUM('Factors and data'!F278/100)*$F39</f>
        <v>334.6630944978711</v>
      </c>
      <c r="G64" s="62">
        <v>0</v>
      </c>
      <c r="H64" s="62">
        <f>SUM('Factors and data'!H278/100)*$F39</f>
        <v>-3976.7972983691479</v>
      </c>
      <c r="I64" s="62">
        <f t="shared" si="9"/>
        <v>63238.390045509666</v>
      </c>
      <c r="J64" s="36">
        <f>SUM(I64/'Factors and data'!$B162)*'Factors and data'!$B$147</f>
        <v>48266.941418760965</v>
      </c>
      <c r="K64" s="36">
        <f>J64*'Factors and data'!C130</f>
        <v>38977.471204114678</v>
      </c>
    </row>
    <row r="65" spans="1:14" x14ac:dyDescent="0.3">
      <c r="A65">
        <f t="shared" si="8"/>
        <v>2026</v>
      </c>
      <c r="B65" s="62">
        <f>SUM('Factors and data'!B279/100)*$F40</f>
        <v>61693.246284663954</v>
      </c>
      <c r="C65" s="62">
        <f>SUM('Factors and data'!C279/100)*$F40</f>
        <v>167.33154724893555</v>
      </c>
      <c r="D65" s="62">
        <f>SUM('Factors and data'!D279/100)*$F40</f>
        <v>5019.9464174680661</v>
      </c>
      <c r="E65" s="62">
        <v>0</v>
      </c>
      <c r="F65" s="62">
        <f>SUM('Factors and data'!F279/100)*$F40</f>
        <v>334.6630944978711</v>
      </c>
      <c r="G65" s="62">
        <v>0</v>
      </c>
      <c r="H65" s="62">
        <f>SUM('Factors and data'!H279/100)*$F40</f>
        <v>-3976.7972983691479</v>
      </c>
      <c r="I65" s="62">
        <f t="shared" si="9"/>
        <v>63238.390045509666</v>
      </c>
      <c r="J65" s="36">
        <f>SUM(I65/'Factors and data'!$B163)*'Factors and data'!$B$147</f>
        <v>47227.92702422796</v>
      </c>
      <c r="K65" s="36">
        <f>J65*'Factors and data'!C131</f>
        <v>36803.580931478144</v>
      </c>
    </row>
    <row r="66" spans="1:14" x14ac:dyDescent="0.3">
      <c r="A66">
        <f t="shared" si="8"/>
        <v>2027</v>
      </c>
      <c r="B66" s="62">
        <f>SUM('Factors and data'!B280/100)*$F41</f>
        <v>61693.246284663954</v>
      </c>
      <c r="C66" s="62">
        <f>SUM('Factors and data'!C280/100)*$F41</f>
        <v>167.33154724893555</v>
      </c>
      <c r="D66" s="62">
        <f>SUM('Factors and data'!D280/100)*$F41</f>
        <v>5019.9464174680661</v>
      </c>
      <c r="E66" s="62">
        <v>0</v>
      </c>
      <c r="F66" s="62">
        <f>SUM('Factors and data'!F280/100)*$F41</f>
        <v>334.6630944978711</v>
      </c>
      <c r="G66" s="62">
        <v>0</v>
      </c>
      <c r="H66" s="62">
        <f>SUM('Factors and data'!H280/100)*$F41</f>
        <v>-3976.7972983691479</v>
      </c>
      <c r="I66" s="62">
        <f t="shared" si="9"/>
        <v>63238.390045509666</v>
      </c>
      <c r="J66" s="36">
        <f>SUM(I66/'Factors and data'!$B164)*'Factors and data'!$B$147</f>
        <v>46211.278888677058</v>
      </c>
      <c r="K66" s="36">
        <f>J66*'Factors and data'!C132</f>
        <v>34750.935028254797</v>
      </c>
    </row>
    <row r="67" spans="1:14" x14ac:dyDescent="0.3">
      <c r="A67">
        <f t="shared" si="8"/>
        <v>2028</v>
      </c>
      <c r="B67" s="62">
        <f>SUM('Factors and data'!B281/100)*$F42</f>
        <v>61693.246284663954</v>
      </c>
      <c r="C67" s="62">
        <f>SUM('Factors and data'!C281/100)*$F42</f>
        <v>167.33154724893555</v>
      </c>
      <c r="D67" s="62">
        <f>SUM('Factors and data'!D281/100)*$F42</f>
        <v>5019.9464174680661</v>
      </c>
      <c r="E67" s="62">
        <v>0</v>
      </c>
      <c r="F67" s="62">
        <f>SUM('Factors and data'!F281/100)*$F42</f>
        <v>334.6630944978711</v>
      </c>
      <c r="G67" s="62">
        <v>0</v>
      </c>
      <c r="H67" s="62">
        <f>SUM('Factors and data'!H281/100)*$F42</f>
        <v>-3976.7972983691479</v>
      </c>
      <c r="I67" s="62">
        <f t="shared" si="9"/>
        <v>63238.390045509666</v>
      </c>
      <c r="J67" s="36">
        <f>SUM(I67/'Factors and data'!$B165)*'Factors and data'!$B$147</f>
        <v>45216.515546650735</v>
      </c>
      <c r="K67" s="36">
        <f>J67*'Factors and data'!C133</f>
        <v>32812.771332941171</v>
      </c>
    </row>
    <row r="68" spans="1:14" x14ac:dyDescent="0.3">
      <c r="A68">
        <f t="shared" si="8"/>
        <v>2029</v>
      </c>
      <c r="B68" s="62">
        <f>SUM('Factors and data'!B282/100)*$F43</f>
        <v>61693.246284663954</v>
      </c>
      <c r="C68" s="62">
        <f>SUM('Factors and data'!C282/100)*$F43</f>
        <v>167.33154724893555</v>
      </c>
      <c r="D68" s="62">
        <f>SUM('Factors and data'!D282/100)*$F43</f>
        <v>5019.9464174680661</v>
      </c>
      <c r="E68" s="62">
        <v>0</v>
      </c>
      <c r="F68" s="62">
        <f>SUM('Factors and data'!F282/100)*$F43</f>
        <v>334.6630944978711</v>
      </c>
      <c r="G68" s="62">
        <v>0</v>
      </c>
      <c r="H68" s="62">
        <f>SUM('Factors and data'!H282/100)*$F43</f>
        <v>-3976.7972983691479</v>
      </c>
      <c r="I68" s="62">
        <f t="shared" si="9"/>
        <v>63238.390045509666</v>
      </c>
      <c r="J68" s="36">
        <f>SUM(I68/'Factors and data'!$B166)*'Factors and data'!$B$147</f>
        <v>44243.16589691853</v>
      </c>
      <c r="K68" s="36">
        <f>J68*'Factors and data'!C134</f>
        <v>30982.704830027622</v>
      </c>
    </row>
    <row r="69" spans="1:14" x14ac:dyDescent="0.3">
      <c r="A69">
        <f t="shared" si="8"/>
        <v>2030</v>
      </c>
      <c r="B69" s="62">
        <f>SUM('Factors and data'!B283/100)*$F44</f>
        <v>74178.575853424089</v>
      </c>
      <c r="C69" s="62">
        <f>SUM('Factors and data'!C283/100)*$F44</f>
        <v>186.56591645261426</v>
      </c>
      <c r="D69" s="62">
        <f>SUM('Factors and data'!D283/100)*$F44</f>
        <v>5596.9774935784262</v>
      </c>
      <c r="E69" s="62">
        <v>0</v>
      </c>
      <c r="F69" s="62">
        <f>SUM('Factors and data'!F283/100)*$F44</f>
        <v>373.13183290522852</v>
      </c>
      <c r="G69" s="62">
        <v>0</v>
      </c>
      <c r="H69" s="62">
        <f>SUM('Factors and data'!H283/100)*$F44</f>
        <v>-3437.0901504626831</v>
      </c>
      <c r="I69" s="62">
        <f t="shared" si="9"/>
        <v>76898.160945897675</v>
      </c>
      <c r="J69" s="36">
        <f>SUM(I69/'Factors and data'!$B167)*'Factors and data'!$B$147</f>
        <v>52641.765833250021</v>
      </c>
      <c r="K69" s="36">
        <f>J69*'Factors and data'!C135</f>
        <v>35573.852150883999</v>
      </c>
    </row>
    <row r="70" spans="1:14" x14ac:dyDescent="0.3">
      <c r="A70">
        <f t="shared" si="8"/>
        <v>2031</v>
      </c>
      <c r="B70" s="62">
        <f>SUM('Factors and data'!B284/100)*$F45</f>
        <v>74178.575853424089</v>
      </c>
      <c r="C70" s="62">
        <f>SUM('Factors and data'!C284/100)*$F45</f>
        <v>186.56591645261426</v>
      </c>
      <c r="D70" s="62">
        <f>SUM('Factors and data'!D284/100)*$F45</f>
        <v>5596.9774935784262</v>
      </c>
      <c r="E70" s="62">
        <v>0</v>
      </c>
      <c r="F70" s="62">
        <f>SUM('Factors and data'!F284/100)*$F45</f>
        <v>373.13183290522852</v>
      </c>
      <c r="G70" s="62">
        <v>0</v>
      </c>
      <c r="H70" s="62">
        <f>SUM('Factors and data'!H284/100)*$F45</f>
        <v>-3437.0901504626831</v>
      </c>
      <c r="I70" s="62">
        <f t="shared" si="9"/>
        <v>76898.160945897675</v>
      </c>
      <c r="J70" s="36">
        <f>SUM(I70/'Factors and data'!$B168)*'Factors and data'!$B$147</f>
        <v>51508.577136252461</v>
      </c>
      <c r="K70" s="36">
        <f>J70*'Factors and data'!C136</f>
        <v>33589.79190372119</v>
      </c>
    </row>
    <row r="71" spans="1:14" x14ac:dyDescent="0.3">
      <c r="A71">
        <f t="shared" si="8"/>
        <v>2032</v>
      </c>
      <c r="B71" s="62">
        <f>SUM('Factors and data'!B285/100)*$F46</f>
        <v>74178.575853424089</v>
      </c>
      <c r="C71" s="62">
        <f>SUM('Factors and data'!C285/100)*$F46</f>
        <v>186.56591645261426</v>
      </c>
      <c r="D71" s="62">
        <f>SUM('Factors and data'!D285/100)*$F46</f>
        <v>5596.9774935784262</v>
      </c>
      <c r="E71" s="62">
        <v>0</v>
      </c>
      <c r="F71" s="62">
        <f>SUM('Factors and data'!F285/100)*$F46</f>
        <v>373.13183290522852</v>
      </c>
      <c r="G71" s="62">
        <v>0</v>
      </c>
      <c r="H71" s="62">
        <f>SUM('Factors and data'!H285/100)*$F46</f>
        <v>-3437.0901504626831</v>
      </c>
      <c r="I71" s="62">
        <f t="shared" si="9"/>
        <v>76898.160945897675</v>
      </c>
      <c r="J71" s="36">
        <f>SUM(I71/'Factors and data'!$B169)*'Factors and data'!$B$147</f>
        <v>50399.781933710816</v>
      </c>
      <c r="K71" s="36">
        <f>J71*'Factors and data'!C137</f>
        <v>31716.388637075292</v>
      </c>
    </row>
    <row r="72" spans="1:14" x14ac:dyDescent="0.3">
      <c r="A72">
        <f t="shared" si="8"/>
        <v>2033</v>
      </c>
      <c r="B72" s="62">
        <f>SUM('Factors and data'!B286/100)*$F47</f>
        <v>74178.575853424089</v>
      </c>
      <c r="C72" s="62">
        <f>SUM('Factors and data'!C286/100)*$F47</f>
        <v>186.56591645261426</v>
      </c>
      <c r="D72" s="62">
        <f>SUM('Factors and data'!D286/100)*$F47</f>
        <v>5596.9774935784262</v>
      </c>
      <c r="E72" s="62">
        <v>0</v>
      </c>
      <c r="F72" s="62">
        <f>SUM('Factors and data'!F286/100)*$F47</f>
        <v>373.13183290522852</v>
      </c>
      <c r="G72" s="62">
        <v>0</v>
      </c>
      <c r="H72" s="62">
        <f>SUM('Factors and data'!H286/100)*$F47</f>
        <v>-3437.0901504626831</v>
      </c>
      <c r="I72" s="62">
        <f t="shared" si="9"/>
        <v>76898.160945897675</v>
      </c>
      <c r="J72" s="36">
        <f>SUM(I72/'Factors and data'!$B170)*'Factors and data'!$B$147</f>
        <v>49314.855121047767</v>
      </c>
      <c r="K72" s="36">
        <f>J72*'Factors and data'!C138</f>
        <v>29947.470679821578</v>
      </c>
    </row>
    <row r="73" spans="1:14" x14ac:dyDescent="0.3">
      <c r="A73">
        <f t="shared" si="8"/>
        <v>2034</v>
      </c>
      <c r="B73" s="62">
        <f>SUM('Factors and data'!B287/100)*$F48</f>
        <v>74178.575853424089</v>
      </c>
      <c r="C73" s="62">
        <f>SUM('Factors and data'!C287/100)*$F48</f>
        <v>186.56591645261426</v>
      </c>
      <c r="D73" s="62">
        <f>SUM('Factors and data'!D287/100)*$F48</f>
        <v>5596.9774935784262</v>
      </c>
      <c r="E73" s="62">
        <v>0</v>
      </c>
      <c r="F73" s="62">
        <f>SUM('Factors and data'!F287/100)*$F48</f>
        <v>373.13183290522852</v>
      </c>
      <c r="G73" s="62">
        <v>0</v>
      </c>
      <c r="H73" s="62">
        <f>SUM('Factors and data'!H287/100)*$F48</f>
        <v>-3437.0901504626831</v>
      </c>
      <c r="I73" s="62">
        <f t="shared" si="9"/>
        <v>76898.160945897675</v>
      </c>
      <c r="J73" s="36">
        <f>SUM(I73/'Factors and data'!$B171)*'Factors and data'!$B$147</f>
        <v>48253.282897307014</v>
      </c>
      <c r="K73" s="36">
        <f>J73*'Factors and data'!C139</f>
        <v>28277.21057341274</v>
      </c>
    </row>
    <row r="74" spans="1:14" x14ac:dyDescent="0.3">
      <c r="A74">
        <f t="shared" si="8"/>
        <v>2035</v>
      </c>
      <c r="B74" s="62">
        <f>SUM('Factors and data'!B288/100)*$F49</f>
        <v>93196.841801581802</v>
      </c>
      <c r="C74" s="62">
        <f>SUM('Factors and data'!C288/100)*$F49</f>
        <v>208.01123131923507</v>
      </c>
      <c r="D74" s="62">
        <f>SUM('Factors and data'!D288/100)*$F49</f>
        <v>6240.3369395770515</v>
      </c>
      <c r="E74" s="62">
        <v>0</v>
      </c>
      <c r="F74" s="62">
        <f>SUM('Factors and data'!F288/100)*$F49</f>
        <v>416.02246263847013</v>
      </c>
      <c r="G74" s="62">
        <v>0</v>
      </c>
      <c r="H74" s="62">
        <f>SUM('Factors and data'!H288/100)*$F49</f>
        <v>-3176.1011382180036</v>
      </c>
      <c r="I74" s="62">
        <f t="shared" si="9"/>
        <v>96885.111296898569</v>
      </c>
      <c r="J74" s="36">
        <f>SUM(I74/'Factors and data'!$B172)*'Factors and data'!$B$147</f>
        <v>59486.313957233855</v>
      </c>
      <c r="K74" s="36">
        <f>J74*'Factors and data'!C140</f>
        <v>33639.851687381568</v>
      </c>
    </row>
    <row r="75" spans="1:14" x14ac:dyDescent="0.3">
      <c r="A75">
        <f t="shared" si="8"/>
        <v>2036</v>
      </c>
      <c r="B75" s="62">
        <f>SUM('Factors and data'!B289/100)*$F50</f>
        <v>93196.841801581802</v>
      </c>
      <c r="C75" s="62">
        <f>SUM('Factors and data'!C289/100)*$F50</f>
        <v>208.01123131923507</v>
      </c>
      <c r="D75" s="62">
        <f>SUM('Factors and data'!D289/100)*$F50</f>
        <v>6240.3369395770515</v>
      </c>
      <c r="E75" s="62">
        <v>0</v>
      </c>
      <c r="F75" s="62">
        <f>SUM('Factors and data'!F289/100)*$F50</f>
        <v>416.02246263847013</v>
      </c>
      <c r="G75" s="62">
        <v>0</v>
      </c>
      <c r="H75" s="62">
        <f>SUM('Factors and data'!H289/100)*$F50</f>
        <v>-3176.1011382180036</v>
      </c>
      <c r="I75" s="62">
        <f t="shared" si="9"/>
        <v>96885.111296898569</v>
      </c>
      <c r="J75" s="36">
        <f>SUM(I75/'Factors and data'!$B173)*'Factors and data'!$B$147</f>
        <v>58205.786650913753</v>
      </c>
      <c r="K75" s="36">
        <f>J75*'Factors and data'!C141</f>
        <v>31763.656436715472</v>
      </c>
    </row>
    <row r="76" spans="1:14" x14ac:dyDescent="0.3">
      <c r="A76">
        <f t="shared" si="8"/>
        <v>2037</v>
      </c>
      <c r="B76" s="62">
        <f>SUM('Factors and data'!B290/100)*$F51</f>
        <v>93196.841801581802</v>
      </c>
      <c r="C76" s="62">
        <f>SUM('Factors and data'!C290/100)*$F51</f>
        <v>208.01123131923507</v>
      </c>
      <c r="D76" s="62">
        <f>SUM('Factors and data'!D290/100)*$F51</f>
        <v>6240.3369395770515</v>
      </c>
      <c r="E76" s="62">
        <v>0</v>
      </c>
      <c r="F76" s="62">
        <f>SUM('Factors and data'!F290/100)*$F51</f>
        <v>416.02246263847013</v>
      </c>
      <c r="G76" s="62">
        <v>0</v>
      </c>
      <c r="H76" s="62">
        <f>SUM('Factors and data'!H290/100)*$F51</f>
        <v>-3176.1011382180036</v>
      </c>
      <c r="I76" s="62">
        <f t="shared" si="9"/>
        <v>96885.111296898569</v>
      </c>
      <c r="J76" s="36">
        <f>SUM(I76/'Factors and data'!$B174)*'Factors and data'!$B$147</f>
        <v>56952.824511657287</v>
      </c>
      <c r="K76" s="36">
        <f>J76*'Factors and data'!C142</f>
        <v>29992.102212749927</v>
      </c>
    </row>
    <row r="77" spans="1:14" x14ac:dyDescent="0.3">
      <c r="A77">
        <f t="shared" si="8"/>
        <v>2038</v>
      </c>
      <c r="B77" s="62">
        <f>SUM('Factors and data'!B291/100)*$F52</f>
        <v>93196.841801581802</v>
      </c>
      <c r="C77" s="62">
        <f>SUM('Factors and data'!C291/100)*$F52</f>
        <v>208.01123131923507</v>
      </c>
      <c r="D77" s="62">
        <f>SUM('Factors and data'!D291/100)*$F52</f>
        <v>6240.3369395770515</v>
      </c>
      <c r="E77" s="62">
        <v>0</v>
      </c>
      <c r="F77" s="62">
        <f>SUM('Factors and data'!F291/100)*$F52</f>
        <v>416.02246263847013</v>
      </c>
      <c r="G77" s="62">
        <v>0</v>
      </c>
      <c r="H77" s="62">
        <f>SUM('Factors and data'!H291/100)*$F52</f>
        <v>-3176.1011382180036</v>
      </c>
      <c r="I77" s="62">
        <f t="shared" si="9"/>
        <v>96885.111296898569</v>
      </c>
      <c r="J77" s="36">
        <f>SUM(I77/'Factors and data'!$B175)*'Factors and data'!$B$147</f>
        <v>55726.834160134327</v>
      </c>
      <c r="K77" s="36">
        <f>J77*'Factors and data'!C143</f>
        <v>28319.352872117099</v>
      </c>
    </row>
    <row r="78" spans="1:14" x14ac:dyDescent="0.3">
      <c r="B78" s="62">
        <f>SUM(B58:B77)</f>
        <v>1352638.1385102139</v>
      </c>
      <c r="C78" s="62">
        <f t="shared" ref="C78:H78" si="10">SUM(C58:C77)</f>
        <v>3497.2565478401457</v>
      </c>
      <c r="D78" s="62">
        <f t="shared" si="10"/>
        <v>104917.69643520442</v>
      </c>
      <c r="E78" s="62">
        <f t="shared" si="10"/>
        <v>0</v>
      </c>
      <c r="F78" s="62">
        <f t="shared" si="10"/>
        <v>6994.5130956802914</v>
      </c>
      <c r="G78" s="62">
        <f t="shared" si="10"/>
        <v>0</v>
      </c>
      <c r="H78" s="62">
        <f t="shared" si="10"/>
        <v>-77197.613137493157</v>
      </c>
      <c r="I78" s="62">
        <f>SUM(I58:I77)</f>
        <v>1390849.9914514455</v>
      </c>
      <c r="J78" s="62">
        <f>SUM(J58:J77)</f>
        <v>961534.35331048153</v>
      </c>
      <c r="K78" s="37">
        <f>SUM(K58:K77)</f>
        <v>684073.03163611155</v>
      </c>
      <c r="L78" s="24" t="s">
        <v>183</v>
      </c>
      <c r="M78" s="13"/>
      <c r="N78" s="13"/>
    </row>
    <row r="79" spans="1:14" ht="28.8" x14ac:dyDescent="0.3">
      <c r="A79" s="68"/>
      <c r="B79" s="36"/>
      <c r="C79" s="36"/>
      <c r="D79" s="36"/>
      <c r="E79" s="190" t="s">
        <v>558</v>
      </c>
      <c r="F79" s="36"/>
      <c r="G79" s="190" t="s">
        <v>558</v>
      </c>
      <c r="H79" s="36"/>
      <c r="I79" s="36"/>
      <c r="K79" s="191"/>
    </row>
    <row r="80" spans="1:14" x14ac:dyDescent="0.3">
      <c r="K80" s="36"/>
    </row>
    <row r="81" spans="1:9" x14ac:dyDescent="0.3">
      <c r="A81" t="s">
        <v>215</v>
      </c>
      <c r="B81" t="str">
        <f t="shared" ref="B81:I81" si="11">B57</f>
        <v>Congestion</v>
      </c>
      <c r="C81" t="str">
        <f t="shared" si="11"/>
        <v>Infrastructure</v>
      </c>
      <c r="D81" t="str">
        <f t="shared" si="11"/>
        <v>Accident</v>
      </c>
      <c r="E81" t="str">
        <f t="shared" si="11"/>
        <v>Local Air Quality</v>
      </c>
      <c r="F81" t="str">
        <f t="shared" si="11"/>
        <v>Noise</v>
      </c>
      <c r="G81" t="str">
        <f t="shared" si="11"/>
        <v>Greenhouse Gases</v>
      </c>
      <c r="H81" t="str">
        <f t="shared" si="11"/>
        <v>Indirect Taxation</v>
      </c>
      <c r="I81" t="str">
        <f t="shared" si="11"/>
        <v>Nominal Prices</v>
      </c>
    </row>
    <row r="82" spans="1:9" x14ac:dyDescent="0.3">
      <c r="A82">
        <f>A58</f>
        <v>2019</v>
      </c>
      <c r="B82" s="36">
        <f>SUM(B58/'Factors and data'!$B156)*'Factors and data'!$B$147*'Factors and data'!$C124</f>
        <v>36597.130137940294</v>
      </c>
      <c r="C82" s="36">
        <f>SUM(C58/'Factors and data'!$B156)*'Factors and data'!$B$147*'Factors and data'!$C124</f>
        <v>119.51620668529328</v>
      </c>
      <c r="D82" s="36">
        <f>SUM(D58/'Factors and data'!$B156)*'Factors and data'!$B$147*'Factors and data'!$C124</f>
        <v>3585.4862005587988</v>
      </c>
      <c r="E82" s="36">
        <f>SUM(E58/'Factors and data'!$B156)*'Factors and data'!$B$147*'Factors and data'!$C124</f>
        <v>0</v>
      </c>
      <c r="F82" s="36">
        <f>SUM(F58/'Factors and data'!$B156)*'Factors and data'!$B$147*'Factors and data'!$C124</f>
        <v>239.03241337058657</v>
      </c>
      <c r="G82" s="36">
        <f>SUM(G58/'Factors and data'!$B156)*'Factors and data'!$B$147*'Factors and data'!$C124</f>
        <v>0</v>
      </c>
      <c r="H82" s="36">
        <f>SUM(H58/'Factors and data'!$B156)*'Factors and data'!$B$147*'Factors and data'!$C124</f>
        <v>-4367.1021927078364</v>
      </c>
      <c r="I82" s="36">
        <f>SUM(B82:H82)</f>
        <v>36174.062765847135</v>
      </c>
    </row>
    <row r="83" spans="1:9" x14ac:dyDescent="0.3">
      <c r="A83">
        <v>2020</v>
      </c>
      <c r="B83" s="36">
        <f>SUM(B59/'Factors and data'!$B157)*'Factors and data'!$B$147*'Factors and data'!$C125</f>
        <v>42029.53793922042</v>
      </c>
      <c r="C83" s="36">
        <f>SUM(C59/'Factors and data'!$B157)*'Factors and data'!$B$147*'Factors and data'!$C125</f>
        <v>123.31011561291116</v>
      </c>
      <c r="D83" s="36">
        <f>SUM(D59/'Factors and data'!$B157)*'Factors and data'!$B$147*'Factors and data'!$C125</f>
        <v>3699.3034683873348</v>
      </c>
      <c r="E83" s="36">
        <f>SUM(E59/'Factors and data'!$B157)*'Factors and data'!$B$147*'Factors and data'!$C125</f>
        <v>0</v>
      </c>
      <c r="F83" s="36">
        <f>SUM(F59/'Factors and data'!$B157)*'Factors and data'!$B$147*'Factors and data'!$C125</f>
        <v>246.62023122582232</v>
      </c>
      <c r="G83" s="36">
        <f>SUM(G59/'Factors and data'!$B157)*'Factors and data'!$B$147*'Factors and data'!$C125</f>
        <v>0</v>
      </c>
      <c r="H83" s="36">
        <f>SUM(H59/'Factors and data'!$B157)*'Factors and data'!$B$147*'Factors and data'!$C125</f>
        <v>-3641.2390023913072</v>
      </c>
      <c r="I83" s="36">
        <f t="shared" ref="I83:I101" si="12">SUM(B83:H83)</f>
        <v>42457.53275205518</v>
      </c>
    </row>
    <row r="84" spans="1:9" x14ac:dyDescent="0.3">
      <c r="A84">
        <f t="shared" ref="A84:A101" si="13">A60</f>
        <v>2021</v>
      </c>
      <c r="B84" s="36">
        <f>SUM(B60/'Factors and data'!$B158)*'Factors and data'!$B$147*'Factors and data'!$C126</f>
        <v>39786.217619523442</v>
      </c>
      <c r="C84" s="36">
        <f>SUM(C60/'Factors and data'!$B158)*'Factors and data'!$B$147*'Factors and data'!$C126</f>
        <v>116.728456581145</v>
      </c>
      <c r="D84" s="36">
        <f>SUM(D60/'Factors and data'!$B158)*'Factors and data'!$B$147*'Factors and data'!$C126</f>
        <v>3501.8536974343501</v>
      </c>
      <c r="E84" s="36">
        <f>SUM(E59/'Factors and data'!$B157)*'Factors and data'!$B$147*'Factors and data'!$C125</f>
        <v>0</v>
      </c>
      <c r="F84" s="36">
        <f>SUM(F60/'Factors and data'!$B158)*'Factors and data'!$B$147*'Factors and data'!$C126</f>
        <v>233.45691316228999</v>
      </c>
      <c r="G84" s="36">
        <f>SUM(G59/'Factors and data'!$B157)*'Factors and data'!$B$147*'Factors and data'!$C125</f>
        <v>0</v>
      </c>
      <c r="H84" s="36">
        <f>SUM(H60/'Factors and data'!$B158)*'Factors and data'!$B$147*'Factors and data'!$C126</f>
        <v>-3446.8884136517845</v>
      </c>
      <c r="I84" s="36">
        <f t="shared" si="12"/>
        <v>40191.368273049447</v>
      </c>
    </row>
    <row r="85" spans="1:9" x14ac:dyDescent="0.3">
      <c r="A85">
        <f t="shared" si="13"/>
        <v>2022</v>
      </c>
      <c r="B85" s="36">
        <f>SUM(B61/'Factors and data'!$B159)*'Factors and data'!$B$147*'Factors and data'!$C127</f>
        <v>37669.784686814601</v>
      </c>
      <c r="C85" s="36">
        <f>SUM(C61/'Factors and data'!$B159)*'Factors and data'!$B$147*'Factors and data'!$C127</f>
        <v>110.51907141025154</v>
      </c>
      <c r="D85" s="36">
        <f>SUM(D61/'Factors and data'!$B159)*'Factors and data'!$B$147*'Factors and data'!$C127</f>
        <v>3315.572142307547</v>
      </c>
      <c r="E85" s="36">
        <f>SUM(E60/'Factors and data'!$B158)*'Factors and data'!$B$147*'Factors and data'!$C126</f>
        <v>0</v>
      </c>
      <c r="F85" s="36">
        <f>SUM(F61/'Factors and data'!$B159)*'Factors and data'!$B$147*'Factors and data'!$C127</f>
        <v>221.03814282050308</v>
      </c>
      <c r="G85" s="36">
        <f>SUM(G60/'Factors and data'!$B158)*'Factors and data'!$B$147*'Factors and data'!$C126</f>
        <v>0</v>
      </c>
      <c r="H85" s="36">
        <f>SUM(H61/'Factors and data'!$B159)*'Factors and data'!$B$147*'Factors and data'!$C127</f>
        <v>-3263.5307438227887</v>
      </c>
      <c r="I85" s="36">
        <f t="shared" si="12"/>
        <v>38053.383299530105</v>
      </c>
    </row>
    <row r="86" spans="1:9" x14ac:dyDescent="0.3">
      <c r="A86">
        <f t="shared" si="13"/>
        <v>2023</v>
      </c>
      <c r="B86" s="36">
        <f>SUM(B62/'Factors and data'!$B160)*'Factors and data'!$B$147*'Factors and data'!$C128</f>
        <v>35666.311957310456</v>
      </c>
      <c r="C86" s="36">
        <f>SUM(C62/'Factors and data'!$B160)*'Factors and data'!$B$147*'Factors and data'!$C128</f>
        <v>104.6410992502975</v>
      </c>
      <c r="D86" s="36">
        <f>SUM(D62/'Factors and data'!$B160)*'Factors and data'!$B$147*'Factors and data'!$C128</f>
        <v>3139.2329775089252</v>
      </c>
      <c r="E86" s="36">
        <f>SUM(E61/'Factors and data'!$B159)*'Factors and data'!$B$147*'Factors and data'!$C127</f>
        <v>0</v>
      </c>
      <c r="F86" s="36">
        <f>SUM(F62/'Factors and data'!$B160)*'Factors and data'!$B$147*'Factors and data'!$C128</f>
        <v>209.282198500595</v>
      </c>
      <c r="G86" s="36">
        <f>SUM(G61/'Factors and data'!$B159)*'Factors and data'!$B$147*'Factors and data'!$C127</f>
        <v>0</v>
      </c>
      <c r="H86" s="36">
        <f>SUM(H62/'Factors and data'!$B160)*'Factors and data'!$B$147*'Factors and data'!$C128</f>
        <v>-3089.959408029199</v>
      </c>
      <c r="I86" s="36">
        <f t="shared" si="12"/>
        <v>36029.508824541073</v>
      </c>
    </row>
    <row r="87" spans="1:9" x14ac:dyDescent="0.3">
      <c r="A87">
        <f t="shared" si="13"/>
        <v>2024</v>
      </c>
      <c r="B87" s="36">
        <f>SUM(B63/'Factors and data'!$B161)*'Factors and data'!$B$147*'Factors and data'!$C129</f>
        <v>33677.094949906648</v>
      </c>
      <c r="C87" s="36">
        <f>SUM(C63/'Factors and data'!$B161)*'Factors and data'!$B$147*'Factors and data'!$C129</f>
        <v>98.804951836141967</v>
      </c>
      <c r="D87" s="36">
        <f>SUM(D63/'Factors and data'!$B161)*'Factors and data'!$B$147*'Factors and data'!$C129</f>
        <v>2964.148555084259</v>
      </c>
      <c r="E87" s="36">
        <f>SUM(E62/'Factors and data'!$B160)*'Factors and data'!$B$147*'Factors and data'!$C128</f>
        <v>0</v>
      </c>
      <c r="F87" s="36">
        <f>SUM(F63/'Factors and data'!$B161)*'Factors and data'!$B$147*'Factors and data'!$C129</f>
        <v>197.60990367228393</v>
      </c>
      <c r="G87" s="36">
        <f>SUM(G62/'Factors and data'!$B160)*'Factors and data'!$B$147*'Factors and data'!$C128</f>
        <v>0</v>
      </c>
      <c r="H87" s="36">
        <f>SUM(H63/'Factors and data'!$B161)*'Factors and data'!$B$147*'Factors and data'!$C129</f>
        <v>-2917.6231201058486</v>
      </c>
      <c r="I87" s="36">
        <f t="shared" si="12"/>
        <v>34020.035240393481</v>
      </c>
    </row>
    <row r="88" spans="1:9" x14ac:dyDescent="0.3">
      <c r="A88">
        <f t="shared" si="13"/>
        <v>2025</v>
      </c>
      <c r="B88" s="36">
        <f>SUM(B64/'Factors and data'!$B162)*'Factors and data'!$B$147*'Factors and data'!$C130</f>
        <v>38025.109886863567</v>
      </c>
      <c r="C88" s="36">
        <f>SUM(C64/'Factors and data'!$B162)*'Factors and data'!$B$147*'Factors and data'!$C130</f>
        <v>103.13609438414942</v>
      </c>
      <c r="D88" s="36">
        <f>SUM(D64/'Factors and data'!$B162)*'Factors and data'!$B$147*'Factors and data'!$C130</f>
        <v>3094.0828315244821</v>
      </c>
      <c r="E88" s="36">
        <f>SUM(E63/'Factors and data'!$B161)*'Factors and data'!$B$147*'Factors and data'!$C129</f>
        <v>0</v>
      </c>
      <c r="F88" s="36">
        <f>SUM(F64/'Factors and data'!$B162)*'Factors and data'!$B$147*'Factors and data'!$C130</f>
        <v>206.27218876829883</v>
      </c>
      <c r="G88" s="36">
        <f>SUM(G63/'Factors and data'!$B161)*'Factors and data'!$B$147*'Factors and data'!$C129</f>
        <v>0</v>
      </c>
      <c r="H88" s="36">
        <f>SUM(H64/'Factors and data'!$B162)*'Factors and data'!$B$147*'Factors and data'!$C130</f>
        <v>-2451.1297974258105</v>
      </c>
      <c r="I88" s="36">
        <f t="shared" si="12"/>
        <v>38977.471204114685</v>
      </c>
    </row>
    <row r="89" spans="1:9" x14ac:dyDescent="0.3">
      <c r="A89">
        <f t="shared" si="13"/>
        <v>2026</v>
      </c>
      <c r="B89" s="36">
        <f>SUM(B65/'Factors and data'!$B163)*'Factors and data'!$B$147*'Factors and data'!$C131</f>
        <v>35904.335656382922</v>
      </c>
      <c r="C89" s="36">
        <f>SUM(C65/'Factors and data'!$B163)*'Factors and data'!$B$147*'Factors and data'!$C131</f>
        <v>97.383885597557921</v>
      </c>
      <c r="D89" s="36">
        <f>SUM(D65/'Factors and data'!$B163)*'Factors and data'!$B$147*'Factors and data'!$C131</f>
        <v>2921.5165679267375</v>
      </c>
      <c r="E89" s="36">
        <f>SUM(E64/'Factors and data'!$B162)*'Factors and data'!$B$147*'Factors and data'!$C130</f>
        <v>0</v>
      </c>
      <c r="F89" s="36">
        <f>SUM(F65/'Factors and data'!$B163)*'Factors and data'!$B$147*'Factors and data'!$C131</f>
        <v>194.76777119511584</v>
      </c>
      <c r="G89" s="36">
        <f>SUM(G64/'Factors and data'!$B162)*'Factors and data'!$B$147*'Factors and data'!$C130</f>
        <v>0</v>
      </c>
      <c r="H89" s="36">
        <f>SUM(H65/'Factors and data'!$B163)*'Factors and data'!$B$147*'Factors and data'!$C131</f>
        <v>-2314.422949624176</v>
      </c>
      <c r="I89" s="36">
        <f t="shared" si="12"/>
        <v>36803.580931478158</v>
      </c>
    </row>
    <row r="90" spans="1:9" x14ac:dyDescent="0.3">
      <c r="A90">
        <f t="shared" si="13"/>
        <v>2027</v>
      </c>
      <c r="B90" s="36">
        <f>SUM(B66/'Factors and data'!$B164)*'Factors and data'!$B$147*'Factors and data'!$C132</f>
        <v>33901.843354608129</v>
      </c>
      <c r="C90" s="36">
        <f>SUM(C66/'Factors and data'!$B164)*'Factors and data'!$B$147*'Factors and data'!$C132</f>
        <v>91.952494717850669</v>
      </c>
      <c r="D90" s="36">
        <f>SUM(D66/'Factors and data'!$B164)*'Factors and data'!$B$147*'Factors and data'!$C132</f>
        <v>2758.5748415355197</v>
      </c>
      <c r="E90" s="36">
        <f>SUM(E65/'Factors and data'!$B163)*'Factors and data'!$B$147*'Factors and data'!$C131</f>
        <v>0</v>
      </c>
      <c r="F90" s="36">
        <f>SUM(F66/'Factors and data'!$B164)*'Factors and data'!$B$147*'Factors and data'!$C132</f>
        <v>183.90498943570134</v>
      </c>
      <c r="G90" s="36">
        <f>SUM(G65/'Factors and data'!$B163)*'Factors and data'!$B$147*'Factors and data'!$C131</f>
        <v>0</v>
      </c>
      <c r="H90" s="36">
        <f>SUM(H66/'Factors and data'!$B164)*'Factors and data'!$B$147*'Factors and data'!$C132</f>
        <v>-2185.340652042396</v>
      </c>
      <c r="I90" s="36">
        <f t="shared" si="12"/>
        <v>34750.935028254804</v>
      </c>
    </row>
    <row r="91" spans="1:9" x14ac:dyDescent="0.3">
      <c r="A91">
        <f t="shared" si="13"/>
        <v>2028</v>
      </c>
      <c r="B91" s="36">
        <f>SUM(B67/'Factors and data'!$B165)*'Factors and data'!$B$147*'Factors and data'!$C133</f>
        <v>32011.036044223918</v>
      </c>
      <c r="C91" s="36">
        <f>SUM(C67/'Factors and data'!$B165)*'Factors and data'!$B$147*'Factors and data'!$C133</f>
        <v>86.824028769790488</v>
      </c>
      <c r="D91" s="36">
        <f>SUM(D67/'Factors and data'!$B165)*'Factors and data'!$B$147*'Factors and data'!$C133</f>
        <v>2604.7208630937148</v>
      </c>
      <c r="E91" s="36">
        <f>SUM(E66/'Factors and data'!$B164)*'Factors and data'!$B$147*'Factors and data'!$C132</f>
        <v>0</v>
      </c>
      <c r="F91" s="36">
        <f>SUM(F67/'Factors and data'!$B165)*'Factors and data'!$B$147*'Factors and data'!$C133</f>
        <v>173.64805753958098</v>
      </c>
      <c r="G91" s="36">
        <f>SUM(G66/'Factors and data'!$B164)*'Factors and data'!$B$147*'Factors and data'!$C132</f>
        <v>0</v>
      </c>
      <c r="H91" s="36">
        <f>SUM(H67/'Factors and data'!$B165)*'Factors and data'!$B$147*'Factors and data'!$C133</f>
        <v>-2063.4576606858241</v>
      </c>
      <c r="I91" s="36">
        <f t="shared" si="12"/>
        <v>32812.771332941185</v>
      </c>
    </row>
    <row r="92" spans="1:9" x14ac:dyDescent="0.3">
      <c r="A92">
        <f t="shared" si="13"/>
        <v>2029</v>
      </c>
      <c r="B92" s="36">
        <f>SUM(B68/'Factors and data'!$B166)*'Factors and data'!$B$147*'Factors and data'!$C134</f>
        <v>30225.684718861139</v>
      </c>
      <c r="C92" s="36">
        <f>SUM(C68/'Factors and data'!$B166)*'Factors and data'!$B$147*'Factors and data'!$C134</f>
        <v>81.981592722943077</v>
      </c>
      <c r="D92" s="36">
        <f>SUM(D68/'Factors and data'!$B166)*'Factors and data'!$B$147*'Factors and data'!$C134</f>
        <v>2459.4477816882923</v>
      </c>
      <c r="E92" s="36">
        <f>SUM(E67/'Factors and data'!$B165)*'Factors and data'!$B$147*'Factors and data'!$C133</f>
        <v>0</v>
      </c>
      <c r="F92" s="36">
        <f>SUM(F68/'Factors and data'!$B166)*'Factors and data'!$B$147*'Factors and data'!$C134</f>
        <v>163.96318544588615</v>
      </c>
      <c r="G92" s="36">
        <f>SUM(G67/'Factors and data'!$B165)*'Factors and data'!$B$147*'Factors and data'!$C133</f>
        <v>0</v>
      </c>
      <c r="H92" s="36">
        <f>SUM(H68/'Factors and data'!$B166)*'Factors and data'!$B$147*'Factors and data'!$C134</f>
        <v>-1948.3724486906265</v>
      </c>
      <c r="I92" s="36">
        <f t="shared" si="12"/>
        <v>30982.70483002764</v>
      </c>
    </row>
    <row r="93" spans="1:9" x14ac:dyDescent="0.3">
      <c r="A93">
        <f t="shared" si="13"/>
        <v>2030</v>
      </c>
      <c r="B93" s="36">
        <f>SUM(B69/'Factors and data'!$B167)*'Factors and data'!$B$147*'Factors and data'!$C135</f>
        <v>34315.745106432441</v>
      </c>
      <c r="C93" s="36">
        <f>SUM(C69/'Factors and data'!$B167)*'Factors and data'!$B$147*'Factors and data'!$C135</f>
        <v>86.307243848769019</v>
      </c>
      <c r="D93" s="36">
        <f>SUM(D69/'Factors and data'!$B167)*'Factors and data'!$B$147*'Factors and data'!$C135</f>
        <v>2589.2173154630696</v>
      </c>
      <c r="E93" s="36">
        <f>SUM(E68/'Factors and data'!$B166)*'Factors and data'!$B$147*'Factors and data'!$C134</f>
        <v>0</v>
      </c>
      <c r="F93" s="36">
        <f>SUM(F69/'Factors and data'!$B167)*'Factors and data'!$B$147*'Factors and data'!$C135</f>
        <v>172.61448769753804</v>
      </c>
      <c r="G93" s="36">
        <f>SUM(G68/'Factors and data'!$B166)*'Factors and data'!$B$147*'Factors and data'!$C134</f>
        <v>0</v>
      </c>
      <c r="H93" s="36">
        <f>SUM(H69/'Factors and data'!$B167)*'Factors and data'!$B$147*'Factors and data'!$C135</f>
        <v>-1590.0320025578189</v>
      </c>
      <c r="I93" s="36">
        <f t="shared" si="12"/>
        <v>35573.852150884006</v>
      </c>
    </row>
    <row r="94" spans="1:9" x14ac:dyDescent="0.3">
      <c r="A94">
        <f t="shared" si="13"/>
        <v>2031</v>
      </c>
      <c r="B94" s="36">
        <f>SUM(B70/'Factors and data'!$B168)*'Factors and data'!$B$147*'Factors and data'!$C136</f>
        <v>32401.853256073689</v>
      </c>
      <c r="C94" s="36">
        <f>SUM(C70/'Factors and data'!$B168)*'Factors and data'!$B$147*'Factors and data'!$C136</f>
        <v>81.493630444287774</v>
      </c>
      <c r="D94" s="36">
        <f>SUM(D70/'Factors and data'!$B168)*'Factors and data'!$B$147*'Factors and data'!$C136</f>
        <v>2444.8089133286326</v>
      </c>
      <c r="E94" s="36">
        <f>SUM(E69/'Factors and data'!$B167)*'Factors and data'!$B$147*'Factors and data'!$C135</f>
        <v>0</v>
      </c>
      <c r="F94" s="36">
        <f>SUM(F70/'Factors and data'!$B168)*'Factors and data'!$B$147*'Factors and data'!$C136</f>
        <v>162.98726088857555</v>
      </c>
      <c r="G94" s="36">
        <f>SUM(G69/'Factors and data'!$B167)*'Factors and data'!$B$147*'Factors and data'!$C135</f>
        <v>0</v>
      </c>
      <c r="H94" s="36">
        <f>SUM(H70/'Factors and data'!$B168)*'Factors and data'!$B$147*'Factors and data'!$C136</f>
        <v>-1501.3511570139874</v>
      </c>
      <c r="I94" s="36">
        <f t="shared" si="12"/>
        <v>33589.791903721198</v>
      </c>
    </row>
    <row r="95" spans="1:9" x14ac:dyDescent="0.3">
      <c r="A95">
        <f t="shared" si="13"/>
        <v>2032</v>
      </c>
      <c r="B95" s="36">
        <f>SUM(B71/'Factors and data'!$B169)*'Factors and data'!$B$147*'Factors and data'!$C137</f>
        <v>30594.704884648829</v>
      </c>
      <c r="C95" s="36">
        <f>SUM(C71/'Factors and data'!$B169)*'Factors and data'!$B$147*'Factors and data'!$C137</f>
        <v>76.948486671954683</v>
      </c>
      <c r="D95" s="36">
        <f>SUM(D71/'Factors and data'!$B169)*'Factors and data'!$B$147*'Factors and data'!$C137</f>
        <v>2308.45460015864</v>
      </c>
      <c r="E95" s="36">
        <f>SUM(E70/'Factors and data'!$B168)*'Factors and data'!$B$147*'Factors and data'!$C136</f>
        <v>0</v>
      </c>
      <c r="F95" s="36">
        <f>SUM(F71/'Factors and data'!$B169)*'Factors and data'!$B$147*'Factors and data'!$C137</f>
        <v>153.89697334390937</v>
      </c>
      <c r="G95" s="36">
        <f>SUM(G70/'Factors and data'!$B168)*'Factors and data'!$B$147*'Factors and data'!$C136</f>
        <v>0</v>
      </c>
      <c r="H95" s="36">
        <f>SUM(H71/'Factors and data'!$B169)*'Factors and data'!$B$147*'Factors and data'!$C137</f>
        <v>-1417.6163077480408</v>
      </c>
      <c r="I95" s="36">
        <f t="shared" si="12"/>
        <v>31716.388637075292</v>
      </c>
    </row>
    <row r="96" spans="1:9" x14ac:dyDescent="0.3">
      <c r="A96">
        <f t="shared" si="13"/>
        <v>2033</v>
      </c>
      <c r="B96" s="36">
        <f>SUM(B72/'Factors and data'!$B170)*'Factors and data'!$B$147*'Factors and data'!$C138</f>
        <v>28888.34658873397</v>
      </c>
      <c r="C96" s="36">
        <f>SUM(C72/'Factors and data'!$B170)*'Factors and data'!$B$147*'Factors and data'!$C138</f>
        <v>72.656839176552111</v>
      </c>
      <c r="D96" s="36">
        <f>SUM(D72/'Factors and data'!$B170)*'Factors and data'!$B$147*'Factors and data'!$C138</f>
        <v>2179.7051752965626</v>
      </c>
      <c r="E96" s="36">
        <f>SUM(E71/'Factors and data'!$B169)*'Factors and data'!$B$147*'Factors and data'!$C137</f>
        <v>0</v>
      </c>
      <c r="F96" s="36">
        <f>SUM(F72/'Factors and data'!$B170)*'Factors and data'!$B$147*'Factors and data'!$C138</f>
        <v>145.31367835310422</v>
      </c>
      <c r="G96" s="36">
        <f>SUM(G71/'Factors and data'!$B169)*'Factors and data'!$B$147*'Factors and data'!$C137</f>
        <v>0</v>
      </c>
      <c r="H96" s="36">
        <f>SUM(H72/'Factors and data'!$B170)*'Factors and data'!$B$147*'Factors and data'!$C138</f>
        <v>-1338.5516017386099</v>
      </c>
      <c r="I96" s="36">
        <f t="shared" si="12"/>
        <v>29947.470679821578</v>
      </c>
    </row>
    <row r="97" spans="1:25" x14ac:dyDescent="0.3">
      <c r="A97">
        <f t="shared" si="13"/>
        <v>2034</v>
      </c>
      <c r="B97" s="36">
        <f>SUM(B73/'Factors and data'!$B171)*'Factors and data'!$B$147*'Factors and data'!$C139</f>
        <v>27277.157004039411</v>
      </c>
      <c r="C97" s="36">
        <f>SUM(C73/'Factors and data'!$B171)*'Factors and data'!$B$147*'Factors and data'!$C139</f>
        <v>68.604549711715052</v>
      </c>
      <c r="D97" s="36">
        <f>SUM(D73/'Factors and data'!$B171)*'Factors and data'!$B$147*'Factors and data'!$C139</f>
        <v>2058.1364913514512</v>
      </c>
      <c r="E97" s="36">
        <f>SUM(E72/'Factors and data'!$B170)*'Factors and data'!$B$147*'Factors and data'!$C138</f>
        <v>0</v>
      </c>
      <c r="F97" s="36">
        <f>SUM(F73/'Factors and data'!$B171)*'Factors and data'!$B$147*'Factors and data'!$C139</f>
        <v>137.2090994234301</v>
      </c>
      <c r="G97" s="36">
        <f>SUM(G72/'Factors and data'!$B170)*'Factors and data'!$B$147*'Factors and data'!$C138</f>
        <v>0</v>
      </c>
      <c r="H97" s="36">
        <f>SUM(H73/'Factors and data'!$B171)*'Factors and data'!$B$147*'Factors and data'!$C139</f>
        <v>-1263.8965711132666</v>
      </c>
      <c r="I97" s="36">
        <f t="shared" si="12"/>
        <v>28277.210573412744</v>
      </c>
    </row>
    <row r="98" spans="1:25" x14ac:dyDescent="0.3">
      <c r="A98">
        <f t="shared" si="13"/>
        <v>2035</v>
      </c>
      <c r="B98" s="36">
        <f>SUM(B74/'Factors and data'!$B172)*'Factors and data'!$B$147*'Factors and data'!$C140</f>
        <v>32359.233467051148</v>
      </c>
      <c r="C98" s="36">
        <f>SUM(C74/'Factors and data'!$B172)*'Factors and data'!$B$147*'Factors and data'!$C140</f>
        <v>72.224378722602424</v>
      </c>
      <c r="D98" s="36">
        <f>SUM(D74/'Factors and data'!$B172)*'Factors and data'!$B$147*'Factors and data'!$C140</f>
        <v>2166.7313616780725</v>
      </c>
      <c r="E98" s="36">
        <f>SUM(E73/'Factors and data'!$B171)*'Factors and data'!$B$147*'Factors and data'!$C139</f>
        <v>0</v>
      </c>
      <c r="F98" s="36">
        <f>SUM(F74/'Factors and data'!$B172)*'Factors and data'!$B$147*'Factors and data'!$C140</f>
        <v>144.44875744520485</v>
      </c>
      <c r="G98" s="36">
        <f>SUM(G73/'Factors and data'!$B171)*'Factors and data'!$B$147*'Factors and data'!$C139</f>
        <v>0</v>
      </c>
      <c r="H98" s="36">
        <f>SUM(H74/'Factors and data'!$B172)*'Factors and data'!$B$147*'Factors and data'!$C140</f>
        <v>-1102.786277515456</v>
      </c>
      <c r="I98" s="36">
        <f t="shared" si="12"/>
        <v>33639.851687381575</v>
      </c>
    </row>
    <row r="99" spans="1:25" x14ac:dyDescent="0.3">
      <c r="A99">
        <f t="shared" si="13"/>
        <v>2036</v>
      </c>
      <c r="B99" s="36">
        <f>SUM(B75/'Factors and data'!$B173)*'Factors and data'!$B$147*'Factors and data'!$C141</f>
        <v>30554.462128869221</v>
      </c>
      <c r="C99" s="36">
        <f>SUM(C75/'Factors and data'!$B173)*'Factors and data'!$B$147*'Factors and data'!$C141</f>
        <v>68.196208872124572</v>
      </c>
      <c r="D99" s="36">
        <f>SUM(D75/'Factors and data'!$B173)*'Factors and data'!$B$147*'Factors and data'!$C141</f>
        <v>2045.886266163737</v>
      </c>
      <c r="E99" s="36">
        <f>SUM(E74/'Factors and data'!$B172)*'Factors and data'!$B$147*'Factors and data'!$C140</f>
        <v>0</v>
      </c>
      <c r="F99" s="36">
        <f>SUM(F75/'Factors and data'!$B173)*'Factors and data'!$B$147*'Factors and data'!$C141</f>
        <v>136.39241774424914</v>
      </c>
      <c r="G99" s="36">
        <f>SUM(G74/'Factors and data'!$B172)*'Factors and data'!$B$147*'Factors and data'!$C140</f>
        <v>0</v>
      </c>
      <c r="H99" s="36">
        <f>SUM(H75/'Factors and data'!$B173)*'Factors and data'!$B$147*'Factors and data'!$C141</f>
        <v>-1041.2805849338697</v>
      </c>
      <c r="I99" s="36">
        <f t="shared" si="12"/>
        <v>31763.656436715457</v>
      </c>
    </row>
    <row r="100" spans="1:25" x14ac:dyDescent="0.3">
      <c r="A100">
        <f t="shared" si="13"/>
        <v>2037</v>
      </c>
      <c r="B100" s="36">
        <f>SUM(B76/'Factors and data'!$B174)*'Factors and data'!$B$147*'Factors and data'!$C142</f>
        <v>28850.348291936203</v>
      </c>
      <c r="C100" s="36">
        <f>SUM(C76/'Factors and data'!$B174)*'Factors and data'!$B$147*'Factors and data'!$C142</f>
        <v>64.392702115068701</v>
      </c>
      <c r="D100" s="36">
        <f>SUM(D76/'Factors and data'!$B174)*'Factors and data'!$B$147*'Factors and data'!$C142</f>
        <v>1931.7810634520608</v>
      </c>
      <c r="E100" s="36">
        <f>SUM(E75/'Factors and data'!$B173)*'Factors and data'!$B$147*'Factors and data'!$C141</f>
        <v>0</v>
      </c>
      <c r="F100" s="36">
        <f>SUM(F76/'Factors and data'!$B174)*'Factors and data'!$B$147*'Factors and data'!$C142</f>
        <v>128.7854042301374</v>
      </c>
      <c r="G100" s="36">
        <f>SUM(G75/'Factors and data'!$B173)*'Factors and data'!$B$147*'Factors and data'!$C141</f>
        <v>0</v>
      </c>
      <c r="H100" s="36">
        <f>SUM(H76/'Factors and data'!$B174)*'Factors and data'!$B$147*'Factors and data'!$C142</f>
        <v>-983.2052489835462</v>
      </c>
      <c r="I100" s="36">
        <f t="shared" si="12"/>
        <v>29992.102212749924</v>
      </c>
    </row>
    <row r="101" spans="1:25" x14ac:dyDescent="0.3">
      <c r="A101">
        <f t="shared" si="13"/>
        <v>2038</v>
      </c>
      <c r="B101" s="36">
        <f>SUM(B77/'Factors and data'!$B175)*'Factors and data'!$B$147*'Factors and data'!$C143</f>
        <v>27241.277986025863</v>
      </c>
      <c r="C101" s="36">
        <f>SUM(C77/'Factors and data'!$B175)*'Factors and data'!$B$147*'Factors and data'!$C143</f>
        <v>60.801328318044312</v>
      </c>
      <c r="D101" s="36">
        <f>SUM(D77/'Factors and data'!$B175)*'Factors and data'!$B$147*'Factors and data'!$C143</f>
        <v>1824.039849541329</v>
      </c>
      <c r="E101" s="36">
        <f>SUM(E76/'Factors and data'!$B174)*'Factors and data'!$B$147*'Factors and data'!$C142</f>
        <v>0</v>
      </c>
      <c r="F101" s="36">
        <f>SUM(F77/'Factors and data'!$B175)*'Factors and data'!$B$147*'Factors and data'!$C143</f>
        <v>121.60265663608862</v>
      </c>
      <c r="G101" s="36">
        <f>SUM(G76/'Factors and data'!$B174)*'Factors and data'!$B$147*'Factors and data'!$C142</f>
        <v>0</v>
      </c>
      <c r="H101" s="36">
        <f>SUM(H77/'Factors and data'!$B175)*'Factors and data'!$B$147*'Factors and data'!$C143</f>
        <v>-928.36894840422906</v>
      </c>
      <c r="I101" s="36">
        <f t="shared" si="12"/>
        <v>28319.352872117095</v>
      </c>
    </row>
    <row r="102" spans="1:25" x14ac:dyDescent="0.3">
      <c r="A102" s="68" t="s">
        <v>559</v>
      </c>
      <c r="B102" s="36">
        <f t="shared" ref="B102:I102" si="14">SUM(B82:B101)</f>
        <v>667977.21566546638</v>
      </c>
      <c r="C102" s="36">
        <f t="shared" si="14"/>
        <v>1786.4233654494508</v>
      </c>
      <c r="D102" s="36">
        <f t="shared" si="14"/>
        <v>53592.700963483527</v>
      </c>
      <c r="E102" s="36">
        <f t="shared" si="14"/>
        <v>0</v>
      </c>
      <c r="F102" s="36">
        <f t="shared" si="14"/>
        <v>3572.8467308989016</v>
      </c>
      <c r="G102" s="36">
        <f t="shared" si="14"/>
        <v>0</v>
      </c>
      <c r="H102" s="36">
        <f t="shared" si="14"/>
        <v>-42856.155089186424</v>
      </c>
      <c r="I102" s="37">
        <f t="shared" si="14"/>
        <v>684073.03163611179</v>
      </c>
      <c r="J102" s="24" t="s">
        <v>216</v>
      </c>
      <c r="K102" s="13"/>
    </row>
    <row r="106" spans="1:25" s="30" customFormat="1" x14ac:dyDescent="0.3">
      <c r="A106" s="223" t="s">
        <v>714</v>
      </c>
      <c r="B106" s="224"/>
      <c r="C106" s="224"/>
      <c r="D106" s="224"/>
      <c r="E106" s="224"/>
      <c r="F106" s="224"/>
      <c r="G106" s="224"/>
      <c r="H106" s="224"/>
      <c r="I106" s="224"/>
      <c r="J106" s="224"/>
      <c r="K106" s="224"/>
      <c r="L106" s="224"/>
      <c r="M106" s="224"/>
      <c r="N106" s="224"/>
      <c r="O106" s="224"/>
      <c r="P106" s="224"/>
      <c r="Q106" s="224"/>
      <c r="R106" s="224"/>
      <c r="S106" s="224"/>
      <c r="T106" s="224"/>
      <c r="U106" s="224"/>
      <c r="V106" s="224"/>
      <c r="W106" s="224"/>
      <c r="X106" s="224"/>
      <c r="Y106" s="224"/>
    </row>
    <row r="108" spans="1:25" x14ac:dyDescent="0.3">
      <c r="A108" t="s">
        <v>651</v>
      </c>
      <c r="B108" s="3">
        <v>7500</v>
      </c>
    </row>
    <row r="109" spans="1:25" x14ac:dyDescent="0.3">
      <c r="A109" t="s">
        <v>652</v>
      </c>
      <c r="B109" s="15">
        <v>0.1</v>
      </c>
      <c r="C109" s="107">
        <f>B108*B109</f>
        <v>750</v>
      </c>
      <c r="D109" t="s">
        <v>653</v>
      </c>
    </row>
    <row r="110" spans="1:25" x14ac:dyDescent="0.3">
      <c r="A110" t="s">
        <v>654</v>
      </c>
      <c r="B110" s="283">
        <v>0.5</v>
      </c>
      <c r="C110" s="107">
        <f>C109*B110</f>
        <v>375</v>
      </c>
      <c r="D110" t="s">
        <v>655</v>
      </c>
    </row>
    <row r="111" spans="1:25" x14ac:dyDescent="0.3">
      <c r="A111" t="s">
        <v>657</v>
      </c>
      <c r="B111" s="283">
        <v>0.5</v>
      </c>
      <c r="C111" s="107">
        <f>C110*B111</f>
        <v>187.5</v>
      </c>
      <c r="D111" t="s">
        <v>656</v>
      </c>
    </row>
    <row r="112" spans="1:25" x14ac:dyDescent="0.3">
      <c r="A112" t="s">
        <v>658</v>
      </c>
      <c r="B112" s="8">
        <v>220</v>
      </c>
      <c r="C112" s="107">
        <f>C111*B112</f>
        <v>41250</v>
      </c>
      <c r="D112" t="s">
        <v>659</v>
      </c>
    </row>
    <row r="113" spans="1:13" x14ac:dyDescent="0.3">
      <c r="A113" t="s">
        <v>666</v>
      </c>
      <c r="B113" s="7">
        <f>'Factors and data'!C64</f>
        <v>13.8403584</v>
      </c>
      <c r="C113" s="107">
        <f>C112*B113</f>
        <v>570914.78399999999</v>
      </c>
      <c r="D113" t="s">
        <v>667</v>
      </c>
    </row>
    <row r="114" spans="1:13" x14ac:dyDescent="0.3">
      <c r="B114" s="8"/>
      <c r="C114" s="107"/>
    </row>
    <row r="115" spans="1:13" x14ac:dyDescent="0.3">
      <c r="B115" s="225" t="s">
        <v>130</v>
      </c>
      <c r="C115" s="226" t="s">
        <v>661</v>
      </c>
      <c r="D115" s="222" t="s">
        <v>662</v>
      </c>
      <c r="E115" s="222" t="s">
        <v>663</v>
      </c>
      <c r="F115" t="s">
        <v>664</v>
      </c>
      <c r="G115" t="s">
        <v>668</v>
      </c>
    </row>
    <row r="116" spans="1:13" x14ac:dyDescent="0.3">
      <c r="A116" t="s">
        <v>660</v>
      </c>
      <c r="B116" s="8">
        <v>2019</v>
      </c>
      <c r="C116">
        <v>2</v>
      </c>
      <c r="D116" s="3">
        <f>$B$108/$C$121*C116</f>
        <v>1250</v>
      </c>
      <c r="E116" s="32">
        <f>D116/$D$121</f>
        <v>0.16666666666666666</v>
      </c>
      <c r="F116" s="107">
        <f>$C$112*E116</f>
        <v>6875</v>
      </c>
      <c r="G116" s="107">
        <f>$C$113*E116</f>
        <v>95152.463999999993</v>
      </c>
    </row>
    <row r="117" spans="1:13" x14ac:dyDescent="0.3">
      <c r="B117" s="8">
        <v>2020</v>
      </c>
      <c r="C117">
        <v>2</v>
      </c>
      <c r="D117" s="3">
        <f>$B$108/$C$121*C117</f>
        <v>1250</v>
      </c>
      <c r="E117" s="32">
        <f>(D117+D116)/$D$121</f>
        <v>0.33333333333333331</v>
      </c>
      <c r="F117" s="107">
        <f t="shared" ref="F117:F120" si="15">$C$112*E117</f>
        <v>13750</v>
      </c>
      <c r="G117" s="107">
        <f t="shared" ref="G117:G120" si="16">$C$113*E117</f>
        <v>190304.92799999999</v>
      </c>
    </row>
    <row r="118" spans="1:13" x14ac:dyDescent="0.3">
      <c r="B118" s="8">
        <v>2021</v>
      </c>
      <c r="C118">
        <v>3</v>
      </c>
      <c r="D118" s="3">
        <f>$B$108/$C$121*C118</f>
        <v>1875</v>
      </c>
      <c r="E118" s="32">
        <f>(D116+D117+D118)/$D$121</f>
        <v>0.58333333333333337</v>
      </c>
      <c r="F118" s="107">
        <f t="shared" si="15"/>
        <v>24062.5</v>
      </c>
      <c r="G118" s="107">
        <f t="shared" si="16"/>
        <v>333033.62400000001</v>
      </c>
    </row>
    <row r="119" spans="1:13" x14ac:dyDescent="0.3">
      <c r="B119" s="8">
        <v>2022</v>
      </c>
      <c r="C119">
        <v>2</v>
      </c>
      <c r="D119" s="3">
        <f>$B$108/$C$121*C119</f>
        <v>1250</v>
      </c>
      <c r="E119" s="32">
        <f>(D116+D117+D118+D119)/$D$121</f>
        <v>0.75</v>
      </c>
      <c r="F119" s="107">
        <f t="shared" si="15"/>
        <v>30937.5</v>
      </c>
      <c r="G119" s="107">
        <f t="shared" si="16"/>
        <v>428186.08799999999</v>
      </c>
    </row>
    <row r="120" spans="1:13" x14ac:dyDescent="0.3">
      <c r="B120" s="227" t="s">
        <v>665</v>
      </c>
      <c r="C120">
        <v>3</v>
      </c>
      <c r="D120" s="3">
        <f>$B$108/$C$121*C120</f>
        <v>1875</v>
      </c>
      <c r="E120" s="32">
        <f>(D116+D117+D118+D119+D120)/$D$121</f>
        <v>1</v>
      </c>
      <c r="F120" s="107">
        <f t="shared" si="15"/>
        <v>41250</v>
      </c>
      <c r="G120" s="107">
        <f t="shared" si="16"/>
        <v>570914.78399999999</v>
      </c>
    </row>
    <row r="121" spans="1:13" x14ac:dyDescent="0.3">
      <c r="C121">
        <f>SUM(C116:C120)</f>
        <v>12</v>
      </c>
      <c r="D121" s="107">
        <f>SUM(D116:D120)</f>
        <v>7500</v>
      </c>
      <c r="E121" s="15"/>
    </row>
    <row r="123" spans="1:13" x14ac:dyDescent="0.3">
      <c r="A123" t="s">
        <v>717</v>
      </c>
    </row>
    <row r="124" spans="1:13" x14ac:dyDescent="0.3">
      <c r="I124" t="s">
        <v>122</v>
      </c>
    </row>
    <row r="125" spans="1:13" x14ac:dyDescent="0.3">
      <c r="A125" t="str">
        <f>A57</f>
        <v>Total</v>
      </c>
      <c r="B125" t="s">
        <v>633</v>
      </c>
      <c r="C125" t="s">
        <v>705</v>
      </c>
      <c r="D125" t="str">
        <f t="shared" ref="D125:J125" si="17">B57</f>
        <v>Congestion</v>
      </c>
      <c r="E125" t="str">
        <f t="shared" si="17"/>
        <v>Infrastructure</v>
      </c>
      <c r="F125" t="str">
        <f t="shared" si="17"/>
        <v>Accident</v>
      </c>
      <c r="G125" t="str">
        <f t="shared" si="17"/>
        <v>Local Air Quality</v>
      </c>
      <c r="H125" t="str">
        <f t="shared" si="17"/>
        <v>Noise</v>
      </c>
      <c r="I125" t="str">
        <f t="shared" si="17"/>
        <v>Greenhouse Gases</v>
      </c>
      <c r="J125" t="str">
        <f t="shared" si="17"/>
        <v>Indirect Taxation</v>
      </c>
      <c r="K125" t="s">
        <v>449</v>
      </c>
      <c r="L125" t="s">
        <v>450</v>
      </c>
      <c r="M125" t="s">
        <v>82</v>
      </c>
    </row>
    <row r="126" spans="1:13" x14ac:dyDescent="0.3">
      <c r="A126">
        <f t="shared" ref="A126:A145" si="18">A58</f>
        <v>2019</v>
      </c>
      <c r="B126" s="107">
        <f>F116</f>
        <v>6875</v>
      </c>
      <c r="C126" s="107">
        <f>G116</f>
        <v>95152.463999999993</v>
      </c>
      <c r="D126" s="62">
        <f>SUM('Factors and data'!B272/100)*$G116</f>
        <v>31432.816104321715</v>
      </c>
      <c r="E126" s="62">
        <f>SUM('Factors and data'!C272/100)*$G116</f>
        <v>102.65097104787243</v>
      </c>
      <c r="F126" s="62">
        <f>SUM('Factors and data'!D272/100)*$G116</f>
        <v>3079.529131436173</v>
      </c>
      <c r="G126" s="62">
        <f>SUM('Factors and data'!E272/100)*$G116</f>
        <v>74.132962210549266</v>
      </c>
      <c r="H126" s="62">
        <f>SUM('Factors and data'!F272/100)*$G116</f>
        <v>205.30194209574486</v>
      </c>
      <c r="I126" s="62">
        <f>SUM('Factors and data'!G272/100)*$G116</f>
        <v>775.84156619221983</v>
      </c>
      <c r="J126" s="62">
        <f>SUM('Factors and data'!H272/100)*$G116</f>
        <v>-3750.849304707016</v>
      </c>
      <c r="K126" s="62">
        <f>SUM(D126:J126)</f>
        <v>31919.423372597252</v>
      </c>
      <c r="L126" s="36">
        <f>SUM(K126/'Factors and data'!$B156)*'Factors and data'!$B$147</f>
        <v>27464.037268150441</v>
      </c>
      <c r="M126" s="36">
        <f>L126*'Factors and data'!C124</f>
        <v>27464.037268150441</v>
      </c>
    </row>
    <row r="127" spans="1:13" x14ac:dyDescent="0.3">
      <c r="A127">
        <f t="shared" si="18"/>
        <v>2020</v>
      </c>
      <c r="B127" s="107">
        <f t="shared" ref="B127:B130" si="19">F117</f>
        <v>13750</v>
      </c>
      <c r="C127" s="107">
        <f>G117</f>
        <v>190304.92799999999</v>
      </c>
      <c r="D127" s="62">
        <f>SUM('Factors and data'!B273/100)*$G117</f>
        <v>76252.446821909136</v>
      </c>
      <c r="E127" s="62">
        <f>SUM('Factors and data'!C273/100)*$G117</f>
        <v>223.71642645642132</v>
      </c>
      <c r="F127" s="62">
        <f>SUM('Factors and data'!D273/100)*$G117</f>
        <v>6711.4927936926397</v>
      </c>
      <c r="G127" s="62">
        <f>SUM('Factors and data'!E273/100)*$G117</f>
        <v>66.613130656782459</v>
      </c>
      <c r="H127" s="62">
        <f>SUM('Factors and data'!F273/100)*$G117</f>
        <v>447.43285291284263</v>
      </c>
      <c r="I127" s="62">
        <f>SUM('Factors and data'!G273/100)*$G117</f>
        <v>1394.6308048523736</v>
      </c>
      <c r="J127" s="62">
        <f>SUM('Factors and data'!H273/100)*$G117</f>
        <v>-6606.1488422076764</v>
      </c>
      <c r="K127" s="62">
        <f t="shared" ref="K127:K145" si="20">SUM(D127:J127)</f>
        <v>78490.183988272518</v>
      </c>
      <c r="L127" s="36">
        <f>SUM(K127/'Factors and data'!$B157)*'Factors and data'!$B$147</f>
        <v>66261.988506650829</v>
      </c>
      <c r="M127" s="36">
        <f>L127*'Factors and data'!C125</f>
        <v>63942.818908918045</v>
      </c>
    </row>
    <row r="128" spans="1:13" x14ac:dyDescent="0.3">
      <c r="A128">
        <f t="shared" si="18"/>
        <v>2021</v>
      </c>
      <c r="B128" s="107">
        <f t="shared" si="19"/>
        <v>24062.5</v>
      </c>
      <c r="C128" s="107">
        <f>G118</f>
        <v>333033.62400000001</v>
      </c>
      <c r="D128" s="62">
        <f>SUM('Factors and data'!B274/100)*$G118</f>
        <v>133441.78193834098</v>
      </c>
      <c r="E128" s="62">
        <f>SUM('Factors and data'!C274/100)*$G118</f>
        <v>391.50374629873733</v>
      </c>
      <c r="F128" s="62">
        <f>SUM('Factors and data'!D274/100)*$G118</f>
        <v>11745.112388962119</v>
      </c>
      <c r="G128" s="62">
        <f>SUM('Factors and data'!E274/100)*$G118</f>
        <v>116.57297864936932</v>
      </c>
      <c r="H128" s="62">
        <f>SUM('Factors and data'!F274/100)*$G118</f>
        <v>783.00749259747465</v>
      </c>
      <c r="I128" s="62">
        <f>SUM('Factors and data'!G274/100)*$G118</f>
        <v>2440.6039084916542</v>
      </c>
      <c r="J128" s="62">
        <f>SUM('Factors and data'!H274/100)*$G118</f>
        <v>-11560.760473863435</v>
      </c>
      <c r="K128" s="62">
        <f t="shared" si="20"/>
        <v>137357.8219794769</v>
      </c>
      <c r="L128" s="36">
        <f>SUM(K128/'Factors and data'!$B158)*'Factors and data'!$B$147</f>
        <v>113750.48011960926</v>
      </c>
      <c r="M128" s="36">
        <f>L128*'Factors and data'!C126</f>
        <v>105927.29084938313</v>
      </c>
    </row>
    <row r="129" spans="1:13" x14ac:dyDescent="0.3">
      <c r="A129">
        <f t="shared" si="18"/>
        <v>2022</v>
      </c>
      <c r="B129" s="107">
        <f t="shared" si="19"/>
        <v>30937.5</v>
      </c>
      <c r="C129" s="107">
        <f>G119</f>
        <v>428186.08799999999</v>
      </c>
      <c r="D129" s="62">
        <f>SUM('Factors and data'!B275/100)*$G119</f>
        <v>171568.00534929556</v>
      </c>
      <c r="E129" s="62">
        <f>SUM('Factors and data'!C275/100)*$G119</f>
        <v>503.361959526948</v>
      </c>
      <c r="F129" s="62">
        <f>SUM('Factors and data'!D275/100)*$G119</f>
        <v>15100.858785808439</v>
      </c>
      <c r="G129" s="62">
        <f>SUM('Factors and data'!E275/100)*$G119</f>
        <v>149.87954397776053</v>
      </c>
      <c r="H129" s="62">
        <f>SUM('Factors and data'!F275/100)*$G119</f>
        <v>1006.723919053896</v>
      </c>
      <c r="I129" s="62">
        <f>SUM('Factors and data'!G275/100)*$G119</f>
        <v>3137.9193109178409</v>
      </c>
      <c r="J129" s="62">
        <f>SUM('Factors and data'!H275/100)*$G119</f>
        <v>-14863.834894967273</v>
      </c>
      <c r="K129" s="62">
        <f t="shared" si="20"/>
        <v>176602.91397361318</v>
      </c>
      <c r="L129" s="36">
        <f>SUM(K129/'Factors and data'!$B159)*'Factors and data'!$B$147</f>
        <v>143493.05389870302</v>
      </c>
      <c r="M129" s="36">
        <f>L129*'Factors and data'!C127</f>
        <v>128947.46794773101</v>
      </c>
    </row>
    <row r="130" spans="1:13" x14ac:dyDescent="0.3">
      <c r="A130">
        <f t="shared" si="18"/>
        <v>2023</v>
      </c>
      <c r="B130" s="107">
        <f t="shared" si="19"/>
        <v>41250</v>
      </c>
      <c r="C130" s="107">
        <f>$G$120</f>
        <v>570914.78399999999</v>
      </c>
      <c r="D130" s="62">
        <f>SUM('Factors and data'!B276/100)*$G$120</f>
        <v>228757.34046572741</v>
      </c>
      <c r="E130" s="62">
        <f>SUM('Factors and data'!C276/100)*$G$120</f>
        <v>671.14927936926404</v>
      </c>
      <c r="F130" s="62">
        <f>SUM('Factors and data'!D276/100)*$G$120</f>
        <v>20134.478381077919</v>
      </c>
      <c r="G130" s="62">
        <f>SUM('Factors and data'!E276/100)*$G$120</f>
        <v>199.83939197034738</v>
      </c>
      <c r="H130" s="62">
        <f>SUM('Factors and data'!F276/100)*$G$120</f>
        <v>1342.2985587385281</v>
      </c>
      <c r="I130" s="62">
        <f>SUM('Factors and data'!G276/100)*$G$120</f>
        <v>4183.8924145571209</v>
      </c>
      <c r="J130" s="62">
        <f>SUM('Factors and data'!H276/100)*$G$120</f>
        <v>-19818.446526623029</v>
      </c>
      <c r="K130" s="62">
        <f t="shared" si="20"/>
        <v>235470.55196481751</v>
      </c>
      <c r="L130" s="36">
        <f>SUM(K130/'Factors and data'!$B160)*'Factors and data'!$B$147</f>
        <v>187718.62646112259</v>
      </c>
      <c r="M130" s="36">
        <f>L130*'Factors and data'!C128</f>
        <v>162785.8386118804</v>
      </c>
    </row>
    <row r="131" spans="1:13" x14ac:dyDescent="0.3">
      <c r="A131">
        <f t="shared" si="18"/>
        <v>2024</v>
      </c>
      <c r="B131" s="107">
        <f>B130</f>
        <v>41250</v>
      </c>
      <c r="C131" s="107">
        <f t="shared" ref="C131:C145" si="21">$G$120</f>
        <v>570914.78399999999</v>
      </c>
      <c r="D131" s="62">
        <f>SUM('Factors and data'!B277/100)*$G$120</f>
        <v>228757.34046572741</v>
      </c>
      <c r="E131" s="62">
        <f>SUM('Factors and data'!C277/100)*$G$120</f>
        <v>671.14927936926404</v>
      </c>
      <c r="F131" s="62">
        <f>SUM('Factors and data'!D277/100)*$G$120</f>
        <v>20134.478381077919</v>
      </c>
      <c r="G131" s="62">
        <f>SUM('Factors and data'!E277/100)*$G$120</f>
        <v>199.83939197034738</v>
      </c>
      <c r="H131" s="62">
        <f>SUM('Factors and data'!F277/100)*$G$120</f>
        <v>1342.2985587385281</v>
      </c>
      <c r="I131" s="62">
        <f>SUM('Factors and data'!G277/100)*$G$120</f>
        <v>4183.8924145571209</v>
      </c>
      <c r="J131" s="62">
        <f>SUM('Factors and data'!H277/100)*$G$120</f>
        <v>-19818.446526623029</v>
      </c>
      <c r="K131" s="62">
        <f t="shared" si="20"/>
        <v>235470.55196481751</v>
      </c>
      <c r="L131" s="36">
        <f>SUM(K131/'Factors and data'!$B161)*'Factors and data'!$B$147</f>
        <v>183677.71669385771</v>
      </c>
      <c r="M131" s="36">
        <f>L131*'Factors and data'!C129</f>
        <v>153706.78499066984</v>
      </c>
    </row>
    <row r="132" spans="1:13" x14ac:dyDescent="0.3">
      <c r="A132">
        <f t="shared" si="18"/>
        <v>2025</v>
      </c>
      <c r="B132" s="107">
        <f t="shared" ref="B132:B145" si="22">B131</f>
        <v>41250</v>
      </c>
      <c r="C132" s="107">
        <f t="shared" si="21"/>
        <v>570914.78399999999</v>
      </c>
      <c r="D132" s="62">
        <f>SUM('Factors and data'!B278/100)*$G$120</f>
        <v>273548.58816428977</v>
      </c>
      <c r="E132" s="62">
        <f>SUM('Factors and data'!C278/100)*$G$120</f>
        <v>741.95007171588964</v>
      </c>
      <c r="F132" s="62">
        <f>SUM('Factors and data'!D278/100)*$G$120</f>
        <v>22258.502151476685</v>
      </c>
      <c r="G132" s="62">
        <f>SUM('Factors and data'!E278/100)*$G$120</f>
        <v>116.57122265009788</v>
      </c>
      <c r="H132" s="62">
        <f>SUM('Factors and data'!F278/100)*$G$120</f>
        <v>1483.9001434317793</v>
      </c>
      <c r="I132" s="62">
        <f>SUM('Factors and data'!G278/100)*$G$120</f>
        <v>3928.714773961462</v>
      </c>
      <c r="J132" s="62">
        <f>SUM('Factors and data'!H278/100)*$G$120</f>
        <v>-17633.166544112708</v>
      </c>
      <c r="K132" s="62">
        <f t="shared" si="20"/>
        <v>284445.05998341297</v>
      </c>
      <c r="L132" s="36">
        <f>SUM(K132/'Factors and data'!$B162)*'Factors and data'!$B$147</f>
        <v>217103.77252164425</v>
      </c>
      <c r="M132" s="36">
        <f>L132*'Factors and data'!C130</f>
        <v>175319.91448038761</v>
      </c>
    </row>
    <row r="133" spans="1:13" x14ac:dyDescent="0.3">
      <c r="A133">
        <f t="shared" si="18"/>
        <v>2026</v>
      </c>
      <c r="B133" s="107">
        <f t="shared" si="22"/>
        <v>41250</v>
      </c>
      <c r="C133" s="107">
        <f t="shared" si="21"/>
        <v>570914.78399999999</v>
      </c>
      <c r="D133" s="62">
        <f>SUM('Factors and data'!B279/100)*$G$120</f>
        <v>273548.58816428977</v>
      </c>
      <c r="E133" s="62">
        <f>SUM('Factors and data'!C279/100)*$G$120</f>
        <v>741.95007171588964</v>
      </c>
      <c r="F133" s="62">
        <f>SUM('Factors and data'!D279/100)*$G$120</f>
        <v>22258.502151476685</v>
      </c>
      <c r="G133" s="62">
        <f>SUM('Factors and data'!E279/100)*$G$120</f>
        <v>116.57122265009788</v>
      </c>
      <c r="H133" s="62">
        <f>SUM('Factors and data'!F279/100)*$G$120</f>
        <v>1483.9001434317793</v>
      </c>
      <c r="I133" s="62">
        <f>SUM('Factors and data'!G279/100)*$G$120</f>
        <v>3928.714773961462</v>
      </c>
      <c r="J133" s="62">
        <f>SUM('Factors and data'!H279/100)*$G$120</f>
        <v>-17633.166544112708</v>
      </c>
      <c r="K133" s="62">
        <f t="shared" si="20"/>
        <v>284445.05998341297</v>
      </c>
      <c r="L133" s="36">
        <f>SUM(K133/'Factors and data'!$B163)*'Factors and data'!$B$147</f>
        <v>212430.30579417251</v>
      </c>
      <c r="M133" s="36">
        <f>L133*'Factors and data'!C131</f>
        <v>165541.79791934841</v>
      </c>
    </row>
    <row r="134" spans="1:13" x14ac:dyDescent="0.3">
      <c r="A134">
        <f t="shared" si="18"/>
        <v>2027</v>
      </c>
      <c r="B134" s="107">
        <f t="shared" si="22"/>
        <v>41250</v>
      </c>
      <c r="C134" s="107">
        <f t="shared" si="21"/>
        <v>570914.78399999999</v>
      </c>
      <c r="D134" s="62">
        <f>SUM('Factors and data'!B280/100)*$G$120</f>
        <v>273548.58816428977</v>
      </c>
      <c r="E134" s="62">
        <f>SUM('Factors and data'!C280/100)*$G$120</f>
        <v>741.95007171588964</v>
      </c>
      <c r="F134" s="62">
        <f>SUM('Factors and data'!D280/100)*$G$120</f>
        <v>22258.502151476685</v>
      </c>
      <c r="G134" s="62">
        <f>SUM('Factors and data'!E280/100)*$G$120</f>
        <v>116.57122265009788</v>
      </c>
      <c r="H134" s="62">
        <f>SUM('Factors and data'!F280/100)*$G$120</f>
        <v>1483.9001434317793</v>
      </c>
      <c r="I134" s="62">
        <f>SUM('Factors and data'!G280/100)*$G$120</f>
        <v>3928.714773961462</v>
      </c>
      <c r="J134" s="62">
        <f>SUM('Factors and data'!H280/100)*$G$120</f>
        <v>-17633.166544112708</v>
      </c>
      <c r="K134" s="62">
        <f t="shared" si="20"/>
        <v>284445.05998341297</v>
      </c>
      <c r="L134" s="36">
        <f>SUM(K134/'Factors and data'!$B164)*'Factors and data'!$B$147</f>
        <v>207857.44206866188</v>
      </c>
      <c r="M134" s="36">
        <f>L134*'Factors and data'!C132</f>
        <v>156309.03619586219</v>
      </c>
    </row>
    <row r="135" spans="1:13" x14ac:dyDescent="0.3">
      <c r="A135">
        <f t="shared" si="18"/>
        <v>2028</v>
      </c>
      <c r="B135" s="107">
        <f t="shared" si="22"/>
        <v>41250</v>
      </c>
      <c r="C135" s="107">
        <f t="shared" si="21"/>
        <v>570914.78399999999</v>
      </c>
      <c r="D135" s="62">
        <f>SUM('Factors and data'!B281/100)*$G$120</f>
        <v>273548.58816428977</v>
      </c>
      <c r="E135" s="62">
        <f>SUM('Factors and data'!C281/100)*$G$120</f>
        <v>741.95007171588964</v>
      </c>
      <c r="F135" s="62">
        <f>SUM('Factors and data'!D281/100)*$G$120</f>
        <v>22258.502151476685</v>
      </c>
      <c r="G135" s="62">
        <f>SUM('Factors and data'!E281/100)*$G$120</f>
        <v>116.57122265009788</v>
      </c>
      <c r="H135" s="62">
        <f>SUM('Factors and data'!F281/100)*$G$120</f>
        <v>1483.9001434317793</v>
      </c>
      <c r="I135" s="62">
        <f>SUM('Factors and data'!G281/100)*$G$120</f>
        <v>3928.714773961462</v>
      </c>
      <c r="J135" s="62">
        <f>SUM('Factors and data'!H281/100)*$G$120</f>
        <v>-17633.166544112708</v>
      </c>
      <c r="K135" s="62">
        <f t="shared" si="20"/>
        <v>284445.05998341297</v>
      </c>
      <c r="L135" s="36">
        <f>SUM(K135/'Factors and data'!$B165)*'Factors and data'!$B$147</f>
        <v>203383.01572276113</v>
      </c>
      <c r="M135" s="36">
        <f>L135*'Factors and data'!C133</f>
        <v>147591.21323777596</v>
      </c>
    </row>
    <row r="136" spans="1:13" x14ac:dyDescent="0.3">
      <c r="A136">
        <f t="shared" si="18"/>
        <v>2029</v>
      </c>
      <c r="B136" s="107">
        <f t="shared" si="22"/>
        <v>41250</v>
      </c>
      <c r="C136" s="107">
        <f t="shared" si="21"/>
        <v>570914.78399999999</v>
      </c>
      <c r="D136" s="62">
        <f>SUM('Factors and data'!B282/100)*$G$120</f>
        <v>273548.58816428977</v>
      </c>
      <c r="E136" s="62">
        <f>SUM('Factors and data'!C282/100)*$G$120</f>
        <v>741.95007171588964</v>
      </c>
      <c r="F136" s="62">
        <f>SUM('Factors and data'!D282/100)*$G$120</f>
        <v>22258.502151476685</v>
      </c>
      <c r="G136" s="62">
        <f>SUM('Factors and data'!E282/100)*$G$120</f>
        <v>116.57122265009788</v>
      </c>
      <c r="H136" s="62">
        <f>SUM('Factors and data'!F282/100)*$G$120</f>
        <v>1483.9001434317793</v>
      </c>
      <c r="I136" s="62">
        <f>SUM('Factors and data'!G282/100)*$G$120</f>
        <v>3928.714773961462</v>
      </c>
      <c r="J136" s="62">
        <f>SUM('Factors and data'!H282/100)*$G$120</f>
        <v>-17633.166544112708</v>
      </c>
      <c r="K136" s="62">
        <f t="shared" si="20"/>
        <v>284445.05998341297</v>
      </c>
      <c r="L136" s="36">
        <f>SUM(K136/'Factors and data'!$B166)*'Factors and data'!$B$147</f>
        <v>199004.90775221249</v>
      </c>
      <c r="M136" s="36">
        <f>L136*'Factors and data'!C134</f>
        <v>139359.60936835009</v>
      </c>
    </row>
    <row r="137" spans="1:13" x14ac:dyDescent="0.3">
      <c r="A137">
        <f t="shared" si="18"/>
        <v>2030</v>
      </c>
      <c r="B137" s="107">
        <f t="shared" si="22"/>
        <v>41250</v>
      </c>
      <c r="C137" s="107">
        <f t="shared" si="21"/>
        <v>570914.78399999999</v>
      </c>
      <c r="D137" s="62">
        <f>SUM('Factors and data'!B283/100)*$G$120</f>
        <v>328908.6880452584</v>
      </c>
      <c r="E137" s="62">
        <f>SUM('Factors and data'!C283/100)*$G$120</f>
        <v>827.23549365039628</v>
      </c>
      <c r="F137" s="62">
        <f>SUM('Factors and data'!D283/100)*$G$120</f>
        <v>24817.064809511885</v>
      </c>
      <c r="G137" s="62">
        <f>SUM('Factors and data'!E283/100)*$G$120</f>
        <v>107.1519433771728</v>
      </c>
      <c r="H137" s="62">
        <f>SUM('Factors and data'!F283/100)*$G$120</f>
        <v>1654.4709873007926</v>
      </c>
      <c r="I137" s="62">
        <f>SUM('Factors and data'!G283/100)*$G$120</f>
        <v>3623.320316870735</v>
      </c>
      <c r="J137" s="62">
        <f>SUM('Factors and data'!H283/100)*$G$120</f>
        <v>-15240.098627881349</v>
      </c>
      <c r="K137" s="62">
        <f t="shared" si="20"/>
        <v>344697.83296808804</v>
      </c>
      <c r="L137" s="36">
        <f>SUM(K137/'Factors and data'!$B167)*'Factors and data'!$B$147</f>
        <v>235967.96572418988</v>
      </c>
      <c r="M137" s="36">
        <f>L137*'Factors and data'!C135</f>
        <v>159460.63723635813</v>
      </c>
    </row>
    <row r="138" spans="1:13" x14ac:dyDescent="0.3">
      <c r="A138">
        <f t="shared" si="18"/>
        <v>2031</v>
      </c>
      <c r="B138" s="107">
        <f t="shared" si="22"/>
        <v>41250</v>
      </c>
      <c r="C138" s="107">
        <f t="shared" si="21"/>
        <v>570914.78399999999</v>
      </c>
      <c r="D138" s="62">
        <f>SUM('Factors and data'!B284/100)*$G$120</f>
        <v>328908.6880452584</v>
      </c>
      <c r="E138" s="62">
        <f>SUM('Factors and data'!C284/100)*$G$120</f>
        <v>827.23549365039628</v>
      </c>
      <c r="F138" s="62">
        <f>SUM('Factors and data'!D284/100)*$G$120</f>
        <v>24817.064809511885</v>
      </c>
      <c r="G138" s="62">
        <f>SUM('Factors and data'!E284/100)*$G$120</f>
        <v>107.1519433771728</v>
      </c>
      <c r="H138" s="62">
        <f>SUM('Factors and data'!F284/100)*$G$120</f>
        <v>1654.4709873007926</v>
      </c>
      <c r="I138" s="62">
        <f>SUM('Factors and data'!G284/100)*$G$120</f>
        <v>3623.320316870735</v>
      </c>
      <c r="J138" s="62">
        <f>SUM('Factors and data'!H284/100)*$G$120</f>
        <v>-15240.098627881349</v>
      </c>
      <c r="K138" s="62">
        <f t="shared" si="20"/>
        <v>344697.83296808804</v>
      </c>
      <c r="L138" s="36">
        <f>SUM(K138/'Factors and data'!$B168)*'Factors and data'!$B$147</f>
        <v>230888.42047376701</v>
      </c>
      <c r="M138" s="36">
        <f>L138*'Factors and data'!C136</f>
        <v>150567.04005194287</v>
      </c>
    </row>
    <row r="139" spans="1:13" x14ac:dyDescent="0.3">
      <c r="A139">
        <f t="shared" si="18"/>
        <v>2032</v>
      </c>
      <c r="B139" s="107">
        <f t="shared" si="22"/>
        <v>41250</v>
      </c>
      <c r="C139" s="107">
        <f t="shared" si="21"/>
        <v>570914.78399999999</v>
      </c>
      <c r="D139" s="62">
        <f>SUM('Factors and data'!B285/100)*$G$120</f>
        <v>328908.6880452584</v>
      </c>
      <c r="E139" s="62">
        <f>SUM('Factors and data'!C285/100)*$G$120</f>
        <v>827.23549365039628</v>
      </c>
      <c r="F139" s="62">
        <f>SUM('Factors and data'!D285/100)*$G$120</f>
        <v>24817.064809511885</v>
      </c>
      <c r="G139" s="62">
        <f>SUM('Factors and data'!E285/100)*$G$120</f>
        <v>107.1519433771728</v>
      </c>
      <c r="H139" s="62">
        <f>SUM('Factors and data'!F285/100)*$G$120</f>
        <v>1654.4709873007926</v>
      </c>
      <c r="I139" s="62">
        <f>SUM('Factors and data'!G285/100)*$G$120</f>
        <v>3623.320316870735</v>
      </c>
      <c r="J139" s="62">
        <f>SUM('Factors and data'!H285/100)*$G$120</f>
        <v>-15240.098627881349</v>
      </c>
      <c r="K139" s="62">
        <f t="shared" si="20"/>
        <v>344697.83296808804</v>
      </c>
      <c r="L139" s="36">
        <f>SUM(K139/'Factors and data'!$B169)*'Factors and data'!$B$147</f>
        <v>225918.21964165065</v>
      </c>
      <c r="M139" s="36">
        <f>L139*'Factors and data'!C137</f>
        <v>142169.46541108107</v>
      </c>
    </row>
    <row r="140" spans="1:13" x14ac:dyDescent="0.3">
      <c r="A140">
        <f t="shared" si="18"/>
        <v>2033</v>
      </c>
      <c r="B140" s="107">
        <f t="shared" si="22"/>
        <v>41250</v>
      </c>
      <c r="C140" s="107">
        <f t="shared" si="21"/>
        <v>570914.78399999999</v>
      </c>
      <c r="D140" s="62">
        <f>SUM('Factors and data'!B286/100)*$G$120</f>
        <v>328908.6880452584</v>
      </c>
      <c r="E140" s="62">
        <f>SUM('Factors and data'!C286/100)*$G$120</f>
        <v>827.23549365039628</v>
      </c>
      <c r="F140" s="62">
        <f>SUM('Factors and data'!D286/100)*$G$120</f>
        <v>24817.064809511885</v>
      </c>
      <c r="G140" s="62">
        <f>SUM('Factors and data'!E286/100)*$G$120</f>
        <v>107.1519433771728</v>
      </c>
      <c r="H140" s="62">
        <f>SUM('Factors and data'!F286/100)*$G$120</f>
        <v>1654.4709873007926</v>
      </c>
      <c r="I140" s="62">
        <f>SUM('Factors and data'!G286/100)*$G$120</f>
        <v>3623.320316870735</v>
      </c>
      <c r="J140" s="62">
        <f>SUM('Factors and data'!H286/100)*$G$120</f>
        <v>-15240.098627881349</v>
      </c>
      <c r="K140" s="62">
        <f t="shared" si="20"/>
        <v>344697.83296808804</v>
      </c>
      <c r="L140" s="36">
        <f>SUM(K140/'Factors and data'!$B170)*'Factors and data'!$B$147</f>
        <v>221055.00943410042</v>
      </c>
      <c r="M140" s="36">
        <f>L140*'Factors and data'!C138</f>
        <v>134240.24865136322</v>
      </c>
    </row>
    <row r="141" spans="1:13" x14ac:dyDescent="0.3">
      <c r="A141">
        <f t="shared" si="18"/>
        <v>2034</v>
      </c>
      <c r="B141" s="107">
        <f t="shared" si="22"/>
        <v>41250</v>
      </c>
      <c r="C141" s="107">
        <f t="shared" si="21"/>
        <v>570914.78399999999</v>
      </c>
      <c r="D141" s="62">
        <f>SUM('Factors and data'!B287/100)*$G$120</f>
        <v>328908.6880452584</v>
      </c>
      <c r="E141" s="62">
        <f>SUM('Factors and data'!C287/100)*$G$120</f>
        <v>827.23549365039628</v>
      </c>
      <c r="F141" s="62">
        <f>SUM('Factors and data'!D287/100)*$G$120</f>
        <v>24817.064809511885</v>
      </c>
      <c r="G141" s="62">
        <f>SUM('Factors and data'!E287/100)*$G$120</f>
        <v>107.1519433771728</v>
      </c>
      <c r="H141" s="62">
        <f>SUM('Factors and data'!F287/100)*$G$120</f>
        <v>1654.4709873007926</v>
      </c>
      <c r="I141" s="62">
        <f>SUM('Factors and data'!G287/100)*$G$120</f>
        <v>3623.320316870735</v>
      </c>
      <c r="J141" s="62">
        <f>SUM('Factors and data'!H287/100)*$G$120</f>
        <v>-15240.098627881349</v>
      </c>
      <c r="K141" s="62">
        <f t="shared" si="20"/>
        <v>344697.83296808804</v>
      </c>
      <c r="L141" s="36">
        <f>SUM(K141/'Factors and data'!$B171)*'Factors and data'!$B$147</f>
        <v>216296.48672612564</v>
      </c>
      <c r="M141" s="36">
        <f>L141*'Factors and data'!C139</f>
        <v>126753.26805143393</v>
      </c>
    </row>
    <row r="142" spans="1:13" x14ac:dyDescent="0.3">
      <c r="A142">
        <f t="shared" si="18"/>
        <v>2035</v>
      </c>
      <c r="B142" s="107">
        <f t="shared" si="22"/>
        <v>41250</v>
      </c>
      <c r="C142" s="107">
        <f t="shared" si="21"/>
        <v>570914.78399999999</v>
      </c>
      <c r="D142" s="62">
        <f>SUM('Factors and data'!B288/100)*$G$120</f>
        <v>413235.90557319671</v>
      </c>
      <c r="E142" s="62">
        <f>SUM('Factors and data'!C288/100)*$G$120</f>
        <v>922.32427496422815</v>
      </c>
      <c r="F142" s="62">
        <f>SUM('Factors and data'!D288/100)*$G$120</f>
        <v>27669.72824892684</v>
      </c>
      <c r="G142" s="62">
        <f>SUM('Factors and data'!E288/100)*$G$120</f>
        <v>111.77315335496716</v>
      </c>
      <c r="H142" s="62">
        <f>SUM('Factors and data'!F288/100)*$G$120</f>
        <v>1844.6485499284563</v>
      </c>
      <c r="I142" s="62">
        <f>SUM('Factors and data'!G288/100)*$G$120</f>
        <v>4862.9049275668858</v>
      </c>
      <c r="J142" s="62">
        <f>SUM('Factors and data'!H288/100)*$G$120</f>
        <v>-14082.870241868017</v>
      </c>
      <c r="K142" s="62">
        <f t="shared" si="20"/>
        <v>434564.41448607011</v>
      </c>
      <c r="L142" s="36">
        <f>SUM(K142/'Factors and data'!$B172)*'Factors and data'!$B$147</f>
        <v>266817.41754460253</v>
      </c>
      <c r="M142" s="36">
        <f>L142*'Factors and data'!C140</f>
        <v>150886.77977699941</v>
      </c>
    </row>
    <row r="143" spans="1:13" x14ac:dyDescent="0.3">
      <c r="A143">
        <f t="shared" si="18"/>
        <v>2036</v>
      </c>
      <c r="B143" s="107">
        <f t="shared" si="22"/>
        <v>41250</v>
      </c>
      <c r="C143" s="107">
        <f t="shared" si="21"/>
        <v>570914.78399999999</v>
      </c>
      <c r="D143" s="62">
        <f>SUM('Factors and data'!B289/100)*$G$120</f>
        <v>413235.90557319671</v>
      </c>
      <c r="E143" s="62">
        <f>SUM('Factors and data'!C289/100)*$G$120</f>
        <v>922.32427496422815</v>
      </c>
      <c r="F143" s="62">
        <f>SUM('Factors and data'!D289/100)*$G$120</f>
        <v>27669.72824892684</v>
      </c>
      <c r="G143" s="62">
        <f>SUM('Factors and data'!E289/100)*$G$120</f>
        <v>111.77315335496716</v>
      </c>
      <c r="H143" s="62">
        <f>SUM('Factors and data'!F289/100)*$G$120</f>
        <v>1844.6485499284563</v>
      </c>
      <c r="I143" s="62">
        <f>SUM('Factors and data'!G289/100)*$G$120</f>
        <v>4862.9049275668858</v>
      </c>
      <c r="J143" s="62">
        <f>SUM('Factors and data'!H289/100)*$G$120</f>
        <v>-14082.870241868017</v>
      </c>
      <c r="K143" s="62">
        <f t="shared" si="20"/>
        <v>434564.41448607011</v>
      </c>
      <c r="L143" s="36">
        <f>SUM(K143/'Factors and data'!$B173)*'Factors and data'!$B$147</f>
        <v>261073.7940749535</v>
      </c>
      <c r="M143" s="36">
        <f>L143*'Factors and data'!C141</f>
        <v>142471.37229432914</v>
      </c>
    </row>
    <row r="144" spans="1:13" x14ac:dyDescent="0.3">
      <c r="A144">
        <f t="shared" si="18"/>
        <v>2037</v>
      </c>
      <c r="B144" s="107">
        <f t="shared" si="22"/>
        <v>41250</v>
      </c>
      <c r="C144" s="107">
        <f t="shared" si="21"/>
        <v>570914.78399999999</v>
      </c>
      <c r="D144" s="62">
        <f>SUM('Factors and data'!B290/100)*$G$120</f>
        <v>413235.90557319671</v>
      </c>
      <c r="E144" s="62">
        <f>SUM('Factors and data'!C290/100)*$G$120</f>
        <v>922.32427496422815</v>
      </c>
      <c r="F144" s="62">
        <f>SUM('Factors and data'!D290/100)*$G$120</f>
        <v>27669.72824892684</v>
      </c>
      <c r="G144" s="62">
        <f>SUM('Factors and data'!E290/100)*$G$120</f>
        <v>111.77315335496716</v>
      </c>
      <c r="H144" s="62">
        <f>SUM('Factors and data'!F290/100)*$G$120</f>
        <v>1844.6485499284563</v>
      </c>
      <c r="I144" s="62">
        <f>SUM('Factors and data'!G290/100)*$G$120</f>
        <v>4862.9049275668858</v>
      </c>
      <c r="J144" s="62">
        <f>SUM('Factors and data'!H290/100)*$G$120</f>
        <v>-14082.870241868017</v>
      </c>
      <c r="K144" s="62">
        <f t="shared" si="20"/>
        <v>434564.41448607011</v>
      </c>
      <c r="L144" s="36">
        <f>SUM(K144/'Factors and data'!$B174)*'Factors and data'!$B$147</f>
        <v>255453.81024946528</v>
      </c>
      <c r="M144" s="36">
        <f>L144*'Factors and data'!C142</f>
        <v>134525.31728378436</v>
      </c>
    </row>
    <row r="145" spans="1:14" x14ac:dyDescent="0.3">
      <c r="A145">
        <f t="shared" si="18"/>
        <v>2038</v>
      </c>
      <c r="B145" s="107">
        <f t="shared" si="22"/>
        <v>41250</v>
      </c>
      <c r="C145" s="107">
        <f t="shared" si="21"/>
        <v>570914.78399999999</v>
      </c>
      <c r="D145" s="62">
        <f>SUM('Factors and data'!B291/100)*$G$120</f>
        <v>413235.90557319671</v>
      </c>
      <c r="E145" s="62">
        <f>SUM('Factors and data'!C291/100)*$G$120</f>
        <v>922.32427496422815</v>
      </c>
      <c r="F145" s="62">
        <f>SUM('Factors and data'!D291/100)*$G$120</f>
        <v>27669.72824892684</v>
      </c>
      <c r="G145" s="62">
        <f>SUM('Factors and data'!E291/100)*$G$120</f>
        <v>111.77315335496716</v>
      </c>
      <c r="H145" s="62">
        <f>SUM('Factors and data'!F291/100)*$G$120</f>
        <v>1844.6485499284563</v>
      </c>
      <c r="I145" s="62">
        <f>SUM('Factors and data'!G291/100)*$G$120</f>
        <v>4862.9049275668858</v>
      </c>
      <c r="J145" s="62">
        <f>SUM('Factors and data'!H291/100)*$G$120</f>
        <v>-14082.870241868017</v>
      </c>
      <c r="K145" s="62">
        <f t="shared" si="20"/>
        <v>434564.41448607011</v>
      </c>
      <c r="L145" s="36">
        <f>SUM(K145/'Factors and data'!$B175)*'Factors and data'!$B$147</f>
        <v>249954.80454937893</v>
      </c>
      <c r="M145" s="36">
        <f>L145*'Factors and data'!C143</f>
        <v>127022.43755269265</v>
      </c>
    </row>
    <row r="146" spans="1:14" x14ac:dyDescent="0.3">
      <c r="B146" s="107">
        <f>SUM(B126:B145)</f>
        <v>735625</v>
      </c>
      <c r="C146" s="107">
        <f>SUM(C126:C145)</f>
        <v>10181313.648</v>
      </c>
      <c r="D146" s="62">
        <f>SUM(D126:D145)</f>
        <v>5535439.7344858507</v>
      </c>
      <c r="E146" s="62">
        <f>SUM(E126:E145)</f>
        <v>14098.756588756853</v>
      </c>
      <c r="F146" s="62">
        <f t="shared" ref="F146:J146" si="23">SUM(F126:F145)</f>
        <v>422962.69766270532</v>
      </c>
      <c r="G146" s="62">
        <f t="shared" si="23"/>
        <v>2372.5858429913787</v>
      </c>
      <c r="H146" s="62">
        <f t="shared" si="23"/>
        <v>28197.513177513705</v>
      </c>
      <c r="I146" s="62">
        <f t="shared" si="23"/>
        <v>73328.575583996848</v>
      </c>
      <c r="J146" s="62">
        <f t="shared" si="23"/>
        <v>-297116.29339643382</v>
      </c>
      <c r="K146" s="62">
        <f>SUM(K126:K145)</f>
        <v>5779283.5699453792</v>
      </c>
      <c r="L146" s="62">
        <f>SUM(L126:L145)</f>
        <v>3925571.2752257795</v>
      </c>
      <c r="M146" s="37">
        <f>SUM(M126:M145)</f>
        <v>2694992.3760884418</v>
      </c>
      <c r="N146" s="24" t="s">
        <v>183</v>
      </c>
    </row>
    <row r="149" spans="1:14" x14ac:dyDescent="0.3">
      <c r="A149" t="s">
        <v>215</v>
      </c>
      <c r="C149" t="str">
        <f t="shared" ref="C149:J149" si="24">D125</f>
        <v>Congestion</v>
      </c>
      <c r="D149" t="str">
        <f t="shared" si="24"/>
        <v>Infrastructure</v>
      </c>
      <c r="E149" t="str">
        <f t="shared" si="24"/>
        <v>Accident</v>
      </c>
      <c r="F149" t="str">
        <f t="shared" si="24"/>
        <v>Local Air Quality</v>
      </c>
      <c r="G149" t="str">
        <f t="shared" si="24"/>
        <v>Noise</v>
      </c>
      <c r="H149" t="str">
        <f t="shared" si="24"/>
        <v>Greenhouse Gases</v>
      </c>
      <c r="I149" t="str">
        <f t="shared" si="24"/>
        <v>Indirect Taxation</v>
      </c>
      <c r="J149" t="str">
        <f t="shared" si="24"/>
        <v>Nominal Prices</v>
      </c>
    </row>
    <row r="150" spans="1:14" x14ac:dyDescent="0.3">
      <c r="A150">
        <f>A126</f>
        <v>2019</v>
      </c>
      <c r="C150" s="36">
        <f>SUM(D126/'Factors and data'!$B156)*'Factors and data'!$B$147*'Factors and data'!$C124</f>
        <v>27045.351755104944</v>
      </c>
      <c r="D150" s="36">
        <f>SUM(E126/'Factors and data'!$B156)*'Factors and data'!$B$147*'Factors and data'!$C124</f>
        <v>88.322713777181988</v>
      </c>
      <c r="E150" s="36">
        <f>SUM(F126/'Factors and data'!$B156)*'Factors and data'!$B$147*'Factors and data'!$C124</f>
        <v>2649.6814133154598</v>
      </c>
      <c r="F150" s="36">
        <f>SUM(G126/'Factors and data'!$B156)*'Factors and data'!$B$147*'Factors and data'!$C124</f>
        <v>63.785313825462339</v>
      </c>
      <c r="G150" s="36">
        <f>SUM(H126/'Factors and data'!$B156)*'Factors and data'!$B$147*'Factors and data'!$C124</f>
        <v>176.64542755436398</v>
      </c>
      <c r="H150" s="36">
        <f>SUM(I126/'Factors and data'!$B156)*'Factors and data'!$B$147*'Factors and data'!$C124</f>
        <v>667.54782626731208</v>
      </c>
      <c r="I150" s="36">
        <f>SUM(J126/'Factors and data'!$B156)*'Factors and data'!$B$147*'Factors and data'!$C124</f>
        <v>-3227.29718169428</v>
      </c>
      <c r="J150" s="36">
        <f>SUM(C150:I150)</f>
        <v>27464.037268150445</v>
      </c>
    </row>
    <row r="151" spans="1:14" x14ac:dyDescent="0.3">
      <c r="A151">
        <v>2020</v>
      </c>
      <c r="C151" s="36">
        <f>SUM(D127/'Factors and data'!$B157)*'Factors and data'!$B$147*'Factors and data'!$C125</f>
        <v>62119.823788714115</v>
      </c>
      <c r="D151" s="36">
        <f>SUM(E127/'Factors and data'!$B157)*'Factors and data'!$B$147*'Factors and data'!$C125</f>
        <v>182.25283999831871</v>
      </c>
      <c r="E151" s="36">
        <f>SUM(F127/'Factors and data'!$B157)*'Factors and data'!$B$147*'Factors and data'!$C125</f>
        <v>5467.5851999495617</v>
      </c>
      <c r="F151" s="36">
        <f>SUM(G127/'Factors and data'!$B157)*'Factors and data'!$B$147*'Factors and data'!$C125</f>
        <v>54.267057791317605</v>
      </c>
      <c r="G151" s="36">
        <f>SUM(H127/'Factors and data'!$B157)*'Factors and data'!$B$147*'Factors and data'!$C125</f>
        <v>364.50567999663741</v>
      </c>
      <c r="H151" s="36">
        <f>SUM(I127/'Factors and data'!$B157)*'Factors and data'!$B$147*'Factors and data'!$C125</f>
        <v>1136.1500313567633</v>
      </c>
      <c r="I151" s="36">
        <f>SUM(J127/'Factors and data'!$B157)*'Factors and data'!$B$147*'Factors and data'!$C125</f>
        <v>-5381.7656888886713</v>
      </c>
      <c r="J151" s="36">
        <f t="shared" ref="J151:J169" si="25">SUM(C151:I151)</f>
        <v>63942.818908918052</v>
      </c>
    </row>
    <row r="152" spans="1:14" x14ac:dyDescent="0.3">
      <c r="A152">
        <f t="shared" ref="A152:A169" si="26">A128</f>
        <v>2021</v>
      </c>
      <c r="C152" s="36">
        <f>SUM(D128/'Factors and data'!$B158)*'Factors and data'!$B$147*'Factors and data'!$C126</f>
        <v>102907.32805121635</v>
      </c>
      <c r="D152" s="36">
        <f>SUM(E128/'Factors and data'!$B158)*'Factors and data'!$B$147*'Factors and data'!$C126</f>
        <v>301.91896322442972</v>
      </c>
      <c r="E152" s="36">
        <f>SUM(F128/'Factors and data'!$B158)*'Factors and data'!$B$147*'Factors and data'!$C126</f>
        <v>9057.5688967328897</v>
      </c>
      <c r="F152" s="36">
        <f>SUM(G128/'Factors and data'!$B158)*'Factors and data'!$B$147*'Factors and data'!$C126</f>
        <v>89.898482930339924</v>
      </c>
      <c r="G152" s="36">
        <f>SUM(H128/'Factors and data'!$B158)*'Factors and data'!$B$147*'Factors and data'!$C126</f>
        <v>603.83792644885943</v>
      </c>
      <c r="H152" s="36">
        <f>SUM(I128/'Factors and data'!$B158)*'Factors and data'!$B$147*'Factors and data'!$C126</f>
        <v>1882.1393375148598</v>
      </c>
      <c r="I152" s="36">
        <f>SUM(J128/'Factors and data'!$B158)*'Factors and data'!$B$147*'Factors and data'!$C126</f>
        <v>-8915.4008086846043</v>
      </c>
      <c r="J152" s="36">
        <f t="shared" si="25"/>
        <v>105927.29084938312</v>
      </c>
    </row>
    <row r="153" spans="1:14" x14ac:dyDescent="0.3">
      <c r="A153">
        <f t="shared" si="26"/>
        <v>2022</v>
      </c>
      <c r="C153" s="36">
        <f>SUM(D129/'Factors and data'!$B159)*'Factors and data'!$B$147*'Factors and data'!$C127</f>
        <v>125271.2051735451</v>
      </c>
      <c r="D153" s="36">
        <f>SUM(E129/'Factors and data'!$B159)*'Factors and data'!$B$147*'Factors and data'!$C127</f>
        <v>367.53215834199773</v>
      </c>
      <c r="E153" s="36">
        <f>SUM(F129/'Factors and data'!$B159)*'Factors and data'!$B$147*'Factors and data'!$C127</f>
        <v>11025.964750259931</v>
      </c>
      <c r="F153" s="36">
        <f>SUM(G129/'Factors and data'!$B159)*'Factors and data'!$B$147*'Factors and data'!$C127</f>
        <v>109.43527067724639</v>
      </c>
      <c r="G153" s="36">
        <f>SUM(H129/'Factors and data'!$B159)*'Factors and data'!$B$147*'Factors and data'!$C127</f>
        <v>735.06431668399546</v>
      </c>
      <c r="H153" s="36">
        <f>SUM(I129/'Factors and data'!$B159)*'Factors and data'!$B$147*'Factors and data'!$C127</f>
        <v>2291.1668933594219</v>
      </c>
      <c r="I153" s="36">
        <f>SUM(J129/'Factors and data'!$B159)*'Factors and data'!$B$147*'Factors and data'!$C127</f>
        <v>-10852.900615136688</v>
      </c>
      <c r="J153" s="36">
        <f t="shared" si="25"/>
        <v>128947.467947731</v>
      </c>
    </row>
    <row r="154" spans="1:14" x14ac:dyDescent="0.3">
      <c r="A154">
        <f t="shared" si="26"/>
        <v>2023</v>
      </c>
      <c r="C154" s="36">
        <f>SUM(D130/'Factors and data'!$B160)*'Factors and data'!$B$147*'Factors and data'!$C128</f>
        <v>158144.85164115473</v>
      </c>
      <c r="D154" s="36">
        <f>SUM(E130/'Factors and data'!$B160)*'Factors and data'!$B$147*'Factors and data'!$C128</f>
        <v>463.9798792853249</v>
      </c>
      <c r="E154" s="36">
        <f>SUM(F130/'Factors and data'!$B160)*'Factors and data'!$B$147*'Factors and data'!$C128</f>
        <v>13919.396378559746</v>
      </c>
      <c r="F154" s="36">
        <f>SUM(G130/'Factors and data'!$B160)*'Factors and data'!$B$147*'Factors and data'!$C128</f>
        <v>138.15325414636925</v>
      </c>
      <c r="G154" s="36">
        <f>SUM(H130/'Factors and data'!$B160)*'Factors and data'!$B$147*'Factors and data'!$C128</f>
        <v>927.9597585706498</v>
      </c>
      <c r="H154" s="36">
        <f>SUM(I130/'Factors and data'!$B160)*'Factors and data'!$B$147*'Factors and data'!$C128</f>
        <v>2892.4144853039993</v>
      </c>
      <c r="I154" s="36">
        <f>SUM(J130/'Factors and data'!$B160)*'Factors and data'!$B$147*'Factors and data'!$C128</f>
        <v>-13700.91678514038</v>
      </c>
      <c r="J154" s="36">
        <f t="shared" si="25"/>
        <v>162785.83861188046</v>
      </c>
    </row>
    <row r="155" spans="1:14" x14ac:dyDescent="0.3">
      <c r="A155">
        <f t="shared" si="26"/>
        <v>2024</v>
      </c>
      <c r="C155" s="36">
        <f>SUM(D131/'Factors and data'!$B161)*'Factors and data'!$B$147*'Factors and data'!$C129</f>
        <v>149324.63975901599</v>
      </c>
      <c r="D155" s="36">
        <f>SUM(E131/'Factors and data'!$B161)*'Factors and data'!$B$147*'Factors and data'!$C129</f>
        <v>438.10233220189679</v>
      </c>
      <c r="E155" s="36">
        <f>SUM(F131/'Factors and data'!$B161)*'Factors and data'!$B$147*'Factors and data'!$C129</f>
        <v>13143.069966056903</v>
      </c>
      <c r="F155" s="36">
        <f>SUM(G131/'Factors and data'!$B161)*'Factors and data'!$B$147*'Factors and data'!$C129</f>
        <v>130.44803351393963</v>
      </c>
      <c r="G155" s="36">
        <f>SUM(H131/'Factors and data'!$B161)*'Factors and data'!$B$147*'Factors and data'!$C129</f>
        <v>876.20466440379357</v>
      </c>
      <c r="H155" s="36">
        <f>SUM(I131/'Factors and data'!$B161)*'Factors and data'!$B$147*'Factors and data'!$C129</f>
        <v>2731.0958691960459</v>
      </c>
      <c r="I155" s="36">
        <f>SUM(J131/'Factors and data'!$B161)*'Factors and data'!$B$147*'Factors and data'!$C129</f>
        <v>-12936.775633718657</v>
      </c>
      <c r="J155" s="36">
        <f t="shared" si="25"/>
        <v>153706.78499066996</v>
      </c>
    </row>
    <row r="156" spans="1:14" x14ac:dyDescent="0.3">
      <c r="A156">
        <f t="shared" si="26"/>
        <v>2025</v>
      </c>
      <c r="C156" s="36">
        <f>SUM(D132/'Factors and data'!$B162)*'Factors and data'!$B$147*'Factors and data'!$C130</f>
        <v>168603.78973004734</v>
      </c>
      <c r="D156" s="36">
        <f>SUM(E132/'Factors and data'!$B162)*'Factors and data'!$B$147*'Factors and data'!$C130</f>
        <v>457.30666979954793</v>
      </c>
      <c r="E156" s="36">
        <f>SUM(F132/'Factors and data'!$B162)*'Factors and data'!$B$147*'Factors and data'!$C130</f>
        <v>13719.200093986434</v>
      </c>
      <c r="F156" s="36">
        <f>SUM(G132/'Factors and data'!$B162)*'Factors and data'!$B$147*'Factors and data'!$C130</f>
        <v>71.849575405110414</v>
      </c>
      <c r="G156" s="36">
        <f>SUM(H132/'Factors and data'!$B162)*'Factors and data'!$B$147*'Factors and data'!$C130</f>
        <v>914.61333959909587</v>
      </c>
      <c r="H156" s="36">
        <f>SUM(I132/'Factors and data'!$B162)*'Factors and data'!$B$147*'Factors and data'!$C130</f>
        <v>2421.4937613222191</v>
      </c>
      <c r="I156" s="36">
        <f>SUM(J132/'Factors and data'!$B162)*'Factors and data'!$B$147*'Factors and data'!$C130</f>
        <v>-10868.338689772097</v>
      </c>
      <c r="J156" s="36">
        <f t="shared" si="25"/>
        <v>175319.91448038767</v>
      </c>
    </row>
    <row r="157" spans="1:14" x14ac:dyDescent="0.3">
      <c r="A157">
        <f t="shared" si="26"/>
        <v>2026</v>
      </c>
      <c r="C157" s="36">
        <f>SUM(D133/'Factors and data'!$B163)*'Factors and data'!$B$147*'Factors and data'!$C131</f>
        <v>159200.25155527954</v>
      </c>
      <c r="D157" s="36">
        <f>SUM(E133/'Factors and data'!$B163)*'Factors and data'!$B$147*'Factors and data'!$C131</f>
        <v>431.80130758959274</v>
      </c>
      <c r="E157" s="36">
        <f>SUM(F133/'Factors and data'!$B163)*'Factors and data'!$B$147*'Factors and data'!$C131</f>
        <v>12954.039227687781</v>
      </c>
      <c r="F157" s="36">
        <f>SUM(G133/'Factors and data'!$B163)*'Factors and data'!$B$147*'Factors and data'!$C131</f>
        <v>67.842309457858676</v>
      </c>
      <c r="G157" s="36">
        <f>SUM(H133/'Factors and data'!$B163)*'Factors and data'!$B$147*'Factors and data'!$C131</f>
        <v>863.60261517918548</v>
      </c>
      <c r="H157" s="36">
        <f>SUM(I133/'Factors and data'!$B163)*'Factors and data'!$B$147*'Factors and data'!$C131</f>
        <v>2286.4398039882012</v>
      </c>
      <c r="I157" s="36">
        <f>SUM(J133/'Factors and data'!$B163)*'Factors and data'!$B$147*'Factors and data'!$C131</f>
        <v>-10262.178899833734</v>
      </c>
      <c r="J157" s="36">
        <f t="shared" si="25"/>
        <v>165541.79791934844</v>
      </c>
    </row>
    <row r="158" spans="1:14" x14ac:dyDescent="0.3">
      <c r="A158">
        <f t="shared" si="26"/>
        <v>2027</v>
      </c>
      <c r="C158" s="36">
        <f>SUM(D134/'Factors and data'!$B164)*'Factors and data'!$B$147*'Factors and data'!$C132</f>
        <v>150321.17685992635</v>
      </c>
      <c r="D158" s="36">
        <f>SUM(E134/'Factors and data'!$B164)*'Factors and data'!$B$147*'Factors and data'!$C132</f>
        <v>407.71845579643531</v>
      </c>
      <c r="E158" s="36">
        <f>SUM(F134/'Factors and data'!$B164)*'Factors and data'!$B$147*'Factors and data'!$C132</f>
        <v>12231.553673893059</v>
      </c>
      <c r="F158" s="36">
        <f>SUM(G134/'Factors and data'!$B164)*'Factors and data'!$B$147*'Factors and data'!$C132</f>
        <v>64.058540730756945</v>
      </c>
      <c r="G158" s="36">
        <f>SUM(H134/'Factors and data'!$B164)*'Factors and data'!$B$147*'Factors and data'!$C132</f>
        <v>815.43691159287062</v>
      </c>
      <c r="H158" s="36">
        <f>SUM(I134/'Factors and data'!$B164)*'Factors and data'!$B$147*'Factors and data'!$C132</f>
        <v>2158.9182102236928</v>
      </c>
      <c r="I158" s="36">
        <f>SUM(J134/'Factors and data'!$B164)*'Factors and data'!$B$147*'Factors and data'!$C132</f>
        <v>-9689.8264563009288</v>
      </c>
      <c r="J158" s="36">
        <f t="shared" si="25"/>
        <v>156309.03619586222</v>
      </c>
    </row>
    <row r="159" spans="1:14" x14ac:dyDescent="0.3">
      <c r="A159">
        <f t="shared" si="26"/>
        <v>2028</v>
      </c>
      <c r="C159" s="36">
        <f>SUM(D135/'Factors and data'!$B165)*'Factors and data'!$B$147*'Factors and data'!$C133</f>
        <v>141937.31474542947</v>
      </c>
      <c r="D159" s="36">
        <f>SUM(E135/'Factors and data'!$B165)*'Factors and data'!$B$147*'Factors and data'!$C133</f>
        <v>384.97877675495113</v>
      </c>
      <c r="E159" s="36">
        <f>SUM(F135/'Factors and data'!$B165)*'Factors and data'!$B$147*'Factors and data'!$C133</f>
        <v>11549.363302648533</v>
      </c>
      <c r="F159" s="36">
        <f>SUM(G135/'Factors and data'!$B165)*'Factors and data'!$B$147*'Factors and data'!$C133</f>
        <v>60.485804114657981</v>
      </c>
      <c r="G159" s="36">
        <f>SUM(H135/'Factors and data'!$B165)*'Factors and data'!$B$147*'Factors and data'!$C133</f>
        <v>769.95755350990225</v>
      </c>
      <c r="H159" s="36">
        <f>SUM(I135/'Factors and data'!$B165)*'Factors and data'!$B$147*'Factors and data'!$C133</f>
        <v>2038.5088775595532</v>
      </c>
      <c r="I159" s="36">
        <f>SUM(J135/'Factors and data'!$B165)*'Factors and data'!$B$147*'Factors and data'!$C133</f>
        <v>-9149.3958222410929</v>
      </c>
      <c r="J159" s="36">
        <f t="shared" si="25"/>
        <v>147591.21323777601</v>
      </c>
    </row>
    <row r="160" spans="1:14" x14ac:dyDescent="0.3">
      <c r="A160">
        <f t="shared" si="26"/>
        <v>2029</v>
      </c>
      <c r="C160" s="36">
        <f>SUM(D136/'Factors and data'!$B166)*'Factors and data'!$B$147*'Factors and data'!$C134</f>
        <v>134021.04572342409</v>
      </c>
      <c r="D160" s="36">
        <f>SUM(E136/'Factors and data'!$B166)*'Factors and data'!$B$147*'Factors and data'!$C134</f>
        <v>363.50735769914661</v>
      </c>
      <c r="E160" s="36">
        <f>SUM(F136/'Factors and data'!$B166)*'Factors and data'!$B$147*'Factors and data'!$C134</f>
        <v>10905.220730974395</v>
      </c>
      <c r="F160" s="36">
        <f>SUM(G136/'Factors and data'!$B166)*'Factors and data'!$B$147*'Factors and data'!$C134</f>
        <v>57.112329716873717</v>
      </c>
      <c r="G160" s="36">
        <f>SUM(H136/'Factors and data'!$B166)*'Factors and data'!$B$147*'Factors and data'!$C134</f>
        <v>727.01471539829322</v>
      </c>
      <c r="H160" s="36">
        <f>SUM(I136/'Factors and data'!$B166)*'Factors and data'!$B$147*'Factors and data'!$C134</f>
        <v>1924.8151338991865</v>
      </c>
      <c r="I160" s="36">
        <f>SUM(J136/'Factors and data'!$B166)*'Factors and data'!$B$147*'Factors and data'!$C134</f>
        <v>-8639.1066227618921</v>
      </c>
      <c r="J160" s="36">
        <f t="shared" si="25"/>
        <v>139359.60936835009</v>
      </c>
    </row>
    <row r="161" spans="1:12" x14ac:dyDescent="0.3">
      <c r="A161">
        <f t="shared" si="26"/>
        <v>2030</v>
      </c>
      <c r="C161" s="36">
        <f>SUM(D137/'Factors and data'!$B167)*'Factors and data'!$B$147*'Factors and data'!$C135</f>
        <v>152156.42215286873</v>
      </c>
      <c r="D161" s="36">
        <f>SUM(E137/'Factors and data'!$B167)*'Factors and data'!$B$147*'Factors and data'!$C135</f>
        <v>382.68734626549798</v>
      </c>
      <c r="E161" s="36">
        <f>SUM(F137/'Factors and data'!$B167)*'Factors and data'!$B$147*'Factors and data'!$C135</f>
        <v>11480.62038796494</v>
      </c>
      <c r="F161" s="36">
        <f>SUM(G137/'Factors and data'!$B167)*'Factors and data'!$B$147*'Factors and data'!$C135</f>
        <v>49.569552047691587</v>
      </c>
      <c r="G161" s="36">
        <f>SUM(H137/'Factors and data'!$B167)*'Factors and data'!$B$147*'Factors and data'!$C135</f>
        <v>765.37469253099596</v>
      </c>
      <c r="H161" s="36">
        <f>SUM(I137/'Factors and data'!$B167)*'Factors and data'!$B$147*'Factors and data'!$C135</f>
        <v>1676.183925105038</v>
      </c>
      <c r="I161" s="36">
        <f>SUM(J137/'Factors and data'!$B167)*'Factors and data'!$B$147*'Factors and data'!$C135</f>
        <v>-7050.2208204247509</v>
      </c>
      <c r="J161" s="36">
        <f t="shared" si="25"/>
        <v>159460.63723635813</v>
      </c>
    </row>
    <row r="162" spans="1:12" x14ac:dyDescent="0.3">
      <c r="A162">
        <f t="shared" si="26"/>
        <v>2031</v>
      </c>
      <c r="C162" s="36">
        <f>SUM(D138/'Factors and data'!$B168)*'Factors and data'!$B$147*'Factors and data'!$C136</f>
        <v>143670.20291342301</v>
      </c>
      <c r="D162" s="36">
        <f>SUM(E138/'Factors and data'!$B168)*'Factors and data'!$B$147*'Factors and data'!$C136</f>
        <v>361.34372714892913</v>
      </c>
      <c r="E162" s="36">
        <f>SUM(F138/'Factors and data'!$B168)*'Factors and data'!$B$147*'Factors and data'!$C136</f>
        <v>10840.311814467872</v>
      </c>
      <c r="F162" s="36">
        <f>SUM(G138/'Factors and data'!$B168)*'Factors and data'!$B$147*'Factors and data'!$C136</f>
        <v>46.804909712350664</v>
      </c>
      <c r="G162" s="36">
        <f>SUM(H138/'Factors and data'!$B168)*'Factors and data'!$B$147*'Factors and data'!$C136</f>
        <v>722.68745429785827</v>
      </c>
      <c r="H162" s="36">
        <f>SUM(I138/'Factors and data'!$B168)*'Factors and data'!$B$147*'Factors and data'!$C136</f>
        <v>1582.6981288907648</v>
      </c>
      <c r="I162" s="36">
        <f>SUM(J138/'Factors and data'!$B168)*'Factors and data'!$B$147*'Factors and data'!$C136</f>
        <v>-6657.0088959979303</v>
      </c>
      <c r="J162" s="36">
        <f t="shared" si="25"/>
        <v>150567.04005194284</v>
      </c>
    </row>
    <row r="163" spans="1:12" x14ac:dyDescent="0.3">
      <c r="A163">
        <f t="shared" si="26"/>
        <v>2032</v>
      </c>
      <c r="C163" s="36">
        <f>SUM(D139/'Factors and data'!$B169)*'Factors and data'!$B$147*'Factors and data'!$C137</f>
        <v>135657.28552979763</v>
      </c>
      <c r="D163" s="36">
        <f>SUM(E139/'Factors and data'!$B169)*'Factors and data'!$B$147*'Factors and data'!$C137</f>
        <v>341.19050557604368</v>
      </c>
      <c r="E163" s="36">
        <f>SUM(F139/'Factors and data'!$B169)*'Factors and data'!$B$147*'Factors and data'!$C137</f>
        <v>10235.715167281309</v>
      </c>
      <c r="F163" s="36">
        <f>SUM(G139/'Factors and data'!$B169)*'Factors and data'!$B$147*'Factors and data'!$C137</f>
        <v>44.194459757747936</v>
      </c>
      <c r="G163" s="36">
        <f>SUM(H139/'Factors and data'!$B169)*'Factors and data'!$B$147*'Factors and data'!$C137</f>
        <v>682.38101115208735</v>
      </c>
      <c r="H163" s="36">
        <f>SUM(I139/'Factors and data'!$B169)*'Factors and data'!$B$147*'Factors and data'!$C137</f>
        <v>1494.4263154399096</v>
      </c>
      <c r="I163" s="36">
        <f>SUM(J139/'Factors and data'!$B169)*'Factors and data'!$B$147*'Factors and data'!$C137</f>
        <v>-6285.7275779236807</v>
      </c>
      <c r="J163" s="36">
        <f t="shared" si="25"/>
        <v>142169.46541108107</v>
      </c>
    </row>
    <row r="164" spans="1:12" x14ac:dyDescent="0.3">
      <c r="A164">
        <f t="shared" si="26"/>
        <v>2033</v>
      </c>
      <c r="C164" s="36">
        <f>SUM(D140/'Factors and data'!$B170)*'Factors and data'!$B$147*'Factors and data'!$C138</f>
        <v>128091.27254036666</v>
      </c>
      <c r="D164" s="36">
        <f>SUM(E140/'Factors and data'!$B170)*'Factors and data'!$B$147*'Factors and data'!$C138</f>
        <v>322.16128951162625</v>
      </c>
      <c r="E164" s="36">
        <f>SUM(F140/'Factors and data'!$B170)*'Factors and data'!$B$147*'Factors and data'!$C138</f>
        <v>9664.8386853487864</v>
      </c>
      <c r="F164" s="36">
        <f>SUM(G140/'Factors and data'!$B170)*'Factors and data'!$B$147*'Factors and data'!$C138</f>
        <v>41.729602413137727</v>
      </c>
      <c r="G164" s="36">
        <f>SUM(H140/'Factors and data'!$B170)*'Factors and data'!$B$147*'Factors and data'!$C138</f>
        <v>644.3225790232525</v>
      </c>
      <c r="H164" s="36">
        <f>SUM(I140/'Factors and data'!$B170)*'Factors and data'!$B$147*'Factors and data'!$C138</f>
        <v>1411.0776853224195</v>
      </c>
      <c r="I164" s="36">
        <f>SUM(J140/'Factors and data'!$B170)*'Factors and data'!$B$147*'Factors and data'!$C138</f>
        <v>-5935.1537306226528</v>
      </c>
      <c r="J164" s="36">
        <f t="shared" si="25"/>
        <v>134240.24865136319</v>
      </c>
    </row>
    <row r="165" spans="1:12" x14ac:dyDescent="0.3">
      <c r="A165">
        <f t="shared" si="26"/>
        <v>2034</v>
      </c>
      <c r="C165" s="36">
        <f>SUM(D141/'Factors and data'!$B171)*'Factors and data'!$B$147*'Factors and data'!$C139</f>
        <v>120947.23874897632</v>
      </c>
      <c r="D165" s="36">
        <f>SUM(E141/'Factors and data'!$B171)*'Factors and data'!$B$147*'Factors and data'!$C139</f>
        <v>304.19338980305213</v>
      </c>
      <c r="E165" s="36">
        <f>SUM(F141/'Factors and data'!$B171)*'Factors and data'!$B$147*'Factors and data'!$C139</f>
        <v>9125.8016940915641</v>
      </c>
      <c r="F165" s="36">
        <f>SUM(G141/'Factors and data'!$B171)*'Factors and data'!$B$147*'Factors and data'!$C139</f>
        <v>39.402217542737667</v>
      </c>
      <c r="G165" s="36">
        <f>SUM(H141/'Factors and data'!$B171)*'Factors and data'!$B$147*'Factors and data'!$C139</f>
        <v>608.38677960610426</v>
      </c>
      <c r="H165" s="36">
        <f>SUM(I141/'Factors and data'!$B171)*'Factors and data'!$B$147*'Factors and data'!$C139</f>
        <v>1332.3776578631455</v>
      </c>
      <c r="I165" s="36">
        <f>SUM(J141/'Factors and data'!$B171)*'Factors and data'!$B$147*'Factors and data'!$C139</f>
        <v>-5604.1324364489819</v>
      </c>
      <c r="J165" s="36">
        <f t="shared" si="25"/>
        <v>126753.26805143394</v>
      </c>
    </row>
    <row r="166" spans="1:12" x14ac:dyDescent="0.3">
      <c r="A166">
        <f t="shared" si="26"/>
        <v>2035</v>
      </c>
      <c r="C166" s="36">
        <f>SUM(D142/'Factors and data'!$B172)*'Factors and data'!$B$147*'Factors and data'!$C140</f>
        <v>143481.22626172955</v>
      </c>
      <c r="D166" s="36">
        <f>SUM(E142/'Factors and data'!$B172)*'Factors and data'!$B$147*'Factors and data'!$C140</f>
        <v>320.24375471261487</v>
      </c>
      <c r="E166" s="36">
        <f>SUM(F142/'Factors and data'!$B172)*'Factors and data'!$B$147*'Factors and data'!$C140</f>
        <v>9607.312641378443</v>
      </c>
      <c r="F166" s="36">
        <f>SUM(G142/'Factors and data'!$B172)*'Factors and data'!$B$147*'Factors and data'!$C140</f>
        <v>38.809185964287742</v>
      </c>
      <c r="G166" s="36">
        <f>SUM(H142/'Factors and data'!$B172)*'Factors and data'!$B$147*'Factors and data'!$C140</f>
        <v>640.48750942522975</v>
      </c>
      <c r="H166" s="36">
        <f>SUM(I142/'Factors and data'!$B172)*'Factors and data'!$B$147*'Factors and data'!$C140</f>
        <v>1688.4679012431886</v>
      </c>
      <c r="I166" s="36">
        <f>SUM(J142/'Factors and data'!$B172)*'Factors and data'!$B$147*'Factors and data'!$C140</f>
        <v>-4889.7674774539364</v>
      </c>
      <c r="J166" s="36">
        <f t="shared" si="25"/>
        <v>150886.77977699935</v>
      </c>
    </row>
    <row r="167" spans="1:12" x14ac:dyDescent="0.3">
      <c r="A167">
        <f t="shared" si="26"/>
        <v>2036</v>
      </c>
      <c r="C167" s="36">
        <f>SUM(D143/'Factors and data'!$B173)*'Factors and data'!$B$147*'Factors and data'!$C141</f>
        <v>135478.84867178963</v>
      </c>
      <c r="D167" s="36">
        <f>SUM(E143/'Factors and data'!$B173)*'Factors and data'!$B$147*'Factors and data'!$C141</f>
        <v>302.38280166112844</v>
      </c>
      <c r="E167" s="36">
        <f>SUM(F143/'Factors and data'!$B173)*'Factors and data'!$B$147*'Factors and data'!$C141</f>
        <v>9071.4840498338508</v>
      </c>
      <c r="F167" s="36">
        <f>SUM(G143/'Factors and data'!$B173)*'Factors and data'!$B$147*'Factors and data'!$C141</f>
        <v>36.644681463344092</v>
      </c>
      <c r="G167" s="36">
        <f>SUM(H143/'Factors and data'!$B173)*'Factors and data'!$B$147*'Factors and data'!$C141</f>
        <v>604.76560332225688</v>
      </c>
      <c r="H167" s="36">
        <f>SUM(I143/'Factors and data'!$B173)*'Factors and data'!$B$147*'Factors and data'!$C141</f>
        <v>1594.2969908998793</v>
      </c>
      <c r="I167" s="36">
        <f>SUM(J143/'Factors and data'!$B173)*'Factors and data'!$B$147*'Factors and data'!$C141</f>
        <v>-4617.0505046409462</v>
      </c>
      <c r="J167" s="36">
        <f t="shared" si="25"/>
        <v>142471.37229432914</v>
      </c>
    </row>
    <row r="168" spans="1:12" x14ac:dyDescent="0.3">
      <c r="A168">
        <f t="shared" si="26"/>
        <v>2037</v>
      </c>
      <c r="C168" s="36">
        <f>SUM(D144/'Factors and data'!$B174)*'Factors and data'!$B$147*'Factors and data'!$C142</f>
        <v>127922.78764019272</v>
      </c>
      <c r="D168" s="36">
        <f>SUM(E144/'Factors and data'!$B174)*'Factors and data'!$B$147*'Factors and data'!$C142</f>
        <v>285.51800743932381</v>
      </c>
      <c r="E168" s="36">
        <f>SUM(F144/'Factors and data'!$B174)*'Factors and data'!$B$147*'Factors and data'!$C142</f>
        <v>8565.5402231797125</v>
      </c>
      <c r="F168" s="36">
        <f>SUM(G144/'Factors and data'!$B174)*'Factors and data'!$B$147*'Factors and data'!$C142</f>
        <v>34.600897859224112</v>
      </c>
      <c r="G168" s="36">
        <f>SUM(H144/'Factors and data'!$B174)*'Factors and data'!$B$147*'Factors and data'!$C142</f>
        <v>571.03601487864762</v>
      </c>
      <c r="H168" s="36">
        <f>SUM(I144/'Factors and data'!$B174)*'Factors and data'!$B$147*'Factors and data'!$C142</f>
        <v>1505.3782741862849</v>
      </c>
      <c r="I168" s="36">
        <f>SUM(J144/'Factors and data'!$B174)*'Factors and data'!$B$147*'Factors and data'!$C142</f>
        <v>-4359.5437739515783</v>
      </c>
      <c r="J168" s="36">
        <f t="shared" si="25"/>
        <v>134525.31728378433</v>
      </c>
    </row>
    <row r="169" spans="1:12" x14ac:dyDescent="0.3">
      <c r="A169">
        <f t="shared" si="26"/>
        <v>2038</v>
      </c>
      <c r="C169" s="36">
        <f>SUM(D145/'Factors and data'!$B175)*'Factors and data'!$B$147*'Factors and data'!$C143</f>
        <v>120788.15075615063</v>
      </c>
      <c r="D169" s="36">
        <f>SUM(E145/'Factors and data'!$B175)*'Factors and data'!$B$147*'Factors and data'!$C143</f>
        <v>269.59381328664131</v>
      </c>
      <c r="E169" s="36">
        <f>SUM(F145/'Factors and data'!$B175)*'Factors and data'!$B$147*'Factors and data'!$C143</f>
        <v>8087.8143985992383</v>
      </c>
      <c r="F169" s="36">
        <f>SUM(G145/'Factors and data'!$B175)*'Factors and data'!$B$147*'Factors and data'!$C143</f>
        <v>32.671102186057986</v>
      </c>
      <c r="G169" s="36">
        <f>SUM(H145/'Factors and data'!$B175)*'Factors and data'!$B$147*'Factors and data'!$C143</f>
        <v>539.18762657328261</v>
      </c>
      <c r="H169" s="36">
        <f>SUM(I145/'Factors and data'!$B175)*'Factors and data'!$B$147*'Factors and data'!$C143</f>
        <v>1421.4188205379303</v>
      </c>
      <c r="I169" s="36">
        <f>SUM(J145/'Factors and data'!$B175)*'Factors and data'!$B$147*'Factors and data'!$C143</f>
        <v>-4116.3989646411665</v>
      </c>
      <c r="J169" s="36">
        <f t="shared" si="25"/>
        <v>127022.43755269262</v>
      </c>
    </row>
    <row r="170" spans="1:12" x14ac:dyDescent="0.3">
      <c r="A170" s="68" t="s">
        <v>559</v>
      </c>
      <c r="B170" s="68"/>
      <c r="C170" s="36">
        <f t="shared" ref="C170:J170" si="27">SUM(C150:C169)</f>
        <v>2587090.2139981529</v>
      </c>
      <c r="D170" s="36">
        <f t="shared" si="27"/>
        <v>6776.7360898736806</v>
      </c>
      <c r="E170" s="36">
        <f t="shared" si="27"/>
        <v>203302.08269621036</v>
      </c>
      <c r="F170" s="36">
        <f t="shared" si="27"/>
        <v>1271.762581256512</v>
      </c>
      <c r="G170" s="36">
        <f t="shared" si="27"/>
        <v>13553.472179747361</v>
      </c>
      <c r="H170" s="36">
        <f t="shared" si="27"/>
        <v>36137.015929479814</v>
      </c>
      <c r="I170" s="36">
        <f t="shared" si="27"/>
        <v>-153138.90738627865</v>
      </c>
      <c r="J170" s="37">
        <f t="shared" si="27"/>
        <v>2694992.3760884423</v>
      </c>
      <c r="K170" s="24" t="s">
        <v>216</v>
      </c>
      <c r="L170" s="13"/>
    </row>
  </sheetData>
  <mergeCells count="10">
    <mergeCell ref="A17:A18"/>
    <mergeCell ref="B17:B18"/>
    <mergeCell ref="A19:A20"/>
    <mergeCell ref="B19:B20"/>
    <mergeCell ref="D3:E3"/>
    <mergeCell ref="F3:G3"/>
    <mergeCell ref="A4:A5"/>
    <mergeCell ref="A6:A7"/>
    <mergeCell ref="B4:B5"/>
    <mergeCell ref="B6: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BCR summary</vt:lpstr>
      <vt:lpstr>DfT Scheme Impact Proforma</vt:lpstr>
      <vt:lpstr>Scheme Costs</vt:lpstr>
      <vt:lpstr>Mode shift to bus+tram</vt:lpstr>
      <vt:lpstr>Operating cost savings</vt:lpstr>
      <vt:lpstr>Bus+Tram Pax value of time</vt:lpstr>
      <vt:lpstr>RTI amenity value</vt:lpstr>
      <vt:lpstr>Smart TC System JT Savings</vt:lpstr>
      <vt:lpstr>Smart PT Hubs EV charging</vt:lpstr>
      <vt:lpstr>eBike hire scheme</vt:lpstr>
      <vt:lpstr>Factors and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2018-12-20T14:41:07Z</dcterms:modified>
</cp:coreProperties>
</file>