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920589\Box\Integrated Transport Planning (ITP)\3300-3399\3324 Derby &amp; Nottingham TCF2 FBC Support\Project Files\Additional support - Levelling-up fund\Econ Case files\"/>
    </mc:Choice>
  </mc:AlternateContent>
  <xr:revisionPtr revIDLastSave="0" documentId="13_ncr:1_{FA058C22-A8BB-4547-9F81-B108C5899276}" xr6:coauthVersionLast="45" xr6:coauthVersionMax="45" xr10:uidLastSave="{00000000-0000-0000-0000-000000000000}"/>
  <bookViews>
    <workbookView xWindow="-108" yWindow="-108" windowWidth="23256" windowHeight="12576" xr2:uid="{85EF012E-1886-49F1-8205-1FA822FDE8B5}"/>
  </bookViews>
  <sheets>
    <sheet name="AST" sheetId="1" r:id="rId1"/>
    <sheet name="AMCB Table" sheetId="10" r:id="rId2"/>
    <sheet name="Scheme Costs" sheetId="11" r:id="rId3"/>
    <sheet name="Streets for People AMAT" sheetId="4" r:id="rId4"/>
    <sheet name="School Streets AMAT" sheetId="8" r:id="rId5"/>
    <sheet name="LED Street lights" sheetId="3" r:id="rId6"/>
    <sheet name="EV charge points" sheetId="2" r:id="rId7"/>
    <sheet name="Highway maintenance model" sheetId="9" r:id="rId8"/>
    <sheet name="Assumptions + TAG factors" sheetId="6" r:id="rId9"/>
  </sheets>
  <externalReferences>
    <externalReference r:id="rId10"/>
    <externalReference r:id="rId11"/>
  </externalReferences>
  <definedNames>
    <definedName name="Current_year">'[1]Calculations - non-traded'!$C$109</definedName>
    <definedName name="cycle_JA">'[2]TAG Journey Quality'!$I$18:$I$24</definedName>
    <definedName name="Non_traded_emissions_change_Budget_1">'[1]Calculations - non-traded'!$C$73</definedName>
    <definedName name="Non_traded_emissions_change_Budget_2">'[1]Calculations - non-traded'!$C$74</definedName>
    <definedName name="Non_traded_emissions_change_Budget_3">'[1]Calculations - non-traded'!$C$75</definedName>
    <definedName name="Non_traded_emissions_change_Budget_4">'[1]Calculations - non-traded'!$C$76</definedName>
    <definedName name="NPV_central">'[1]Calculations - non-traded'!$C$138</definedName>
    <definedName name="NPV_high">'[1]Calculations - non-traded'!$C$139</definedName>
    <definedName name="NPV_low">'[1]Calculations - non-traded'!$C$137</definedName>
    <definedName name="Opening_year_in">[1]Inputs!$D$7</definedName>
    <definedName name="_xlnm.Print_Area" localSheetId="1">'AMCB Table'!$E$1:$G$26</definedName>
    <definedName name="PV_base_year">'[1]Calculations - non-traded'!$C$110</definedName>
    <definedName name="Scheme_name">[1]Inputs!$D$6</definedName>
    <definedName name="Scheme_type">[1]Inputs!$D$8</definedName>
    <definedName name="TOTAL_emissions_change_60years">'[1]Calculations - non-traded'!$C$46</definedName>
    <definedName name="TOTAL_emissions_change_opening_year">'[1]Calculations - non-traded'!$C$47</definedName>
    <definedName name="Traded_emissions_change_60years">'[1]Calculations - non-traded'!$C$42</definedName>
    <definedName name="Traded_emissions_change_Budget_1">'[1]Calculations - non-traded'!$C$67</definedName>
    <definedName name="Traded_emissions_change_Budget_2">'[1]Calculations - non-traded'!$C$68</definedName>
    <definedName name="Traded_emissions_change_Budget_3">'[1]Calculations - non-traded'!$C$69</definedName>
    <definedName name="Traded_emissions_change_Budget_4">'[1]Calculations - non-traded'!$C$70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10" l="1"/>
  <c r="F18" i="10"/>
  <c r="B18" i="10"/>
  <c r="J16" i="10"/>
  <c r="F16" i="10"/>
  <c r="B16" i="10"/>
  <c r="D49" i="11"/>
  <c r="E49" i="11"/>
  <c r="F49" i="11"/>
  <c r="G49" i="11"/>
  <c r="H49" i="11"/>
  <c r="I49" i="11"/>
  <c r="J49" i="11"/>
  <c r="K49" i="11"/>
  <c r="L49" i="11"/>
  <c r="M49" i="11"/>
  <c r="N49" i="11"/>
  <c r="D50" i="11"/>
  <c r="E50" i="11"/>
  <c r="F50" i="11"/>
  <c r="G50" i="11"/>
  <c r="H50" i="11"/>
  <c r="I50" i="11"/>
  <c r="J50" i="11"/>
  <c r="K50" i="11"/>
  <c r="L50" i="11"/>
  <c r="M50" i="11"/>
  <c r="N50" i="11"/>
  <c r="D51" i="11"/>
  <c r="E51" i="11"/>
  <c r="F51" i="11"/>
  <c r="G51" i="11"/>
  <c r="H51" i="11"/>
  <c r="I51" i="11"/>
  <c r="J51" i="11"/>
  <c r="K51" i="11"/>
  <c r="L51" i="11"/>
  <c r="M51" i="11"/>
  <c r="N51" i="11"/>
  <c r="D52" i="11"/>
  <c r="E52" i="11"/>
  <c r="F52" i="11"/>
  <c r="G52" i="11"/>
  <c r="H52" i="11"/>
  <c r="I52" i="11"/>
  <c r="J52" i="11"/>
  <c r="K52" i="11"/>
  <c r="L52" i="11"/>
  <c r="M52" i="11"/>
  <c r="N52" i="11"/>
  <c r="C50" i="11"/>
  <c r="C51" i="11"/>
  <c r="C52" i="11"/>
  <c r="C49" i="11"/>
  <c r="Q42" i="11"/>
  <c r="D42" i="11"/>
  <c r="E42" i="11"/>
  <c r="F42" i="11"/>
  <c r="G42" i="11"/>
  <c r="H42" i="11"/>
  <c r="I42" i="11"/>
  <c r="J42" i="11"/>
  <c r="K42" i="11"/>
  <c r="L42" i="11"/>
  <c r="M42" i="11"/>
  <c r="N42" i="11"/>
  <c r="C42" i="11"/>
  <c r="D38" i="11"/>
  <c r="E38" i="11"/>
  <c r="F38" i="11"/>
  <c r="G38" i="11"/>
  <c r="H38" i="11"/>
  <c r="I38" i="11"/>
  <c r="J38" i="11"/>
  <c r="K38" i="11"/>
  <c r="L38" i="11"/>
  <c r="M38" i="11"/>
  <c r="N38" i="11"/>
  <c r="D39" i="11"/>
  <c r="E39" i="11"/>
  <c r="F39" i="11"/>
  <c r="G39" i="11"/>
  <c r="H39" i="11"/>
  <c r="I39" i="11"/>
  <c r="J39" i="11"/>
  <c r="K39" i="11"/>
  <c r="L39" i="11"/>
  <c r="M39" i="11"/>
  <c r="N39" i="11"/>
  <c r="D40" i="11"/>
  <c r="E40" i="11"/>
  <c r="F40" i="11"/>
  <c r="G40" i="11"/>
  <c r="H40" i="11"/>
  <c r="I40" i="11"/>
  <c r="J40" i="11"/>
  <c r="K40" i="11"/>
  <c r="L40" i="11"/>
  <c r="M40" i="11"/>
  <c r="N40" i="11"/>
  <c r="D41" i="11"/>
  <c r="E41" i="11"/>
  <c r="F41" i="11"/>
  <c r="G41" i="11"/>
  <c r="H41" i="11"/>
  <c r="I41" i="11"/>
  <c r="J41" i="11"/>
  <c r="K41" i="11"/>
  <c r="L41" i="11"/>
  <c r="M41" i="11"/>
  <c r="N41" i="11"/>
  <c r="C39" i="11"/>
  <c r="C40" i="11"/>
  <c r="C41" i="11"/>
  <c r="C38" i="11"/>
  <c r="M23" i="11" l="1"/>
  <c r="J23" i="11"/>
  <c r="G23" i="11"/>
  <c r="D23" i="11"/>
  <c r="L20" i="11"/>
  <c r="H21" i="11"/>
  <c r="C24" i="11"/>
  <c r="B25" i="4"/>
  <c r="AQ23" i="1"/>
  <c r="I23" i="1"/>
  <c r="I53" i="11" l="1"/>
  <c r="F53" i="11"/>
  <c r="C53" i="11"/>
  <c r="N20" i="11"/>
  <c r="B38" i="8"/>
  <c r="L53" i="11" l="1"/>
  <c r="J7" i="10"/>
  <c r="J11" i="10"/>
  <c r="AT14" i="1" s="1"/>
  <c r="F11" i="10"/>
  <c r="AC14" i="1" s="1"/>
  <c r="AC46" i="1"/>
  <c r="AC44" i="1"/>
  <c r="F12" i="10"/>
  <c r="F9" i="10"/>
  <c r="F8" i="10"/>
  <c r="F7" i="10"/>
  <c r="F6" i="10"/>
  <c r="F3" i="10"/>
  <c r="B11" i="10"/>
  <c r="L14" i="1" s="1"/>
  <c r="O85" i="8"/>
  <c r="O86" i="8" s="1"/>
  <c r="B12" i="10"/>
  <c r="L46" i="1"/>
  <c r="L44" i="1"/>
  <c r="O132" i="4"/>
  <c r="O109" i="4"/>
  <c r="O108" i="4"/>
  <c r="O85" i="4"/>
  <c r="O86" i="4"/>
  <c r="B9" i="10"/>
  <c r="I33" i="1" s="1"/>
  <c r="B8" i="10"/>
  <c r="L37" i="1" s="1"/>
  <c r="B7" i="10"/>
  <c r="L35" i="1" s="1"/>
  <c r="B6" i="10"/>
  <c r="L36" i="1" s="1"/>
  <c r="B3" i="10"/>
  <c r="L20" i="1" s="1"/>
  <c r="N26" i="9" l="1"/>
  <c r="N28" i="9" s="1"/>
  <c r="N29" i="9" s="1"/>
  <c r="AT44" i="1" s="1"/>
  <c r="N19" i="9"/>
  <c r="N21" i="9" s="1"/>
  <c r="N22" i="9" s="1"/>
  <c r="N12" i="9"/>
  <c r="N14" i="9" s="1"/>
  <c r="D30" i="11"/>
  <c r="C30" i="11"/>
  <c r="B30" i="11"/>
  <c r="D29" i="11"/>
  <c r="C29" i="11"/>
  <c r="B29" i="11"/>
  <c r="I24" i="11"/>
  <c r="F24" i="11"/>
  <c r="L23" i="11"/>
  <c r="L22" i="11"/>
  <c r="L21" i="11"/>
  <c r="N22" i="11" l="1"/>
  <c r="N21" i="11"/>
  <c r="N23" i="11"/>
  <c r="D7" i="11"/>
  <c r="G7" i="11" s="1"/>
  <c r="H7" i="11" s="1"/>
  <c r="D9" i="11"/>
  <c r="D8" i="11"/>
  <c r="L24" i="11"/>
  <c r="J12" i="10"/>
  <c r="N24" i="11" l="1"/>
  <c r="G8" i="11"/>
  <c r="H8" i="11" s="1"/>
  <c r="G9" i="11"/>
  <c r="H9" i="11" s="1"/>
  <c r="O131" i="4" l="1"/>
  <c r="O131" i="8"/>
  <c r="O132" i="8" s="1"/>
  <c r="AT46" i="1"/>
  <c r="AT45" i="1"/>
  <c r="L45" i="1"/>
  <c r="J6" i="10"/>
  <c r="AT36" i="1" s="1"/>
  <c r="AT35" i="1"/>
  <c r="J8" i="10"/>
  <c r="AT37" i="1" s="1"/>
  <c r="J9" i="10"/>
  <c r="AQ33" i="1" s="1"/>
  <c r="AT29" i="1" s="1"/>
  <c r="J3" i="10"/>
  <c r="AT20" i="1" s="1"/>
  <c r="AC45" i="1"/>
  <c r="N8" i="9"/>
  <c r="O108" i="8"/>
  <c r="O109" i="8" s="1"/>
  <c r="AC20" i="1" l="1"/>
  <c r="AC35" i="1"/>
  <c r="Z33" i="1"/>
  <c r="AC29" i="1" s="1"/>
  <c r="AC36" i="1"/>
  <c r="AC37" i="1"/>
  <c r="N15" i="9"/>
  <c r="L29" i="1"/>
  <c r="AC43" i="1" l="1"/>
  <c r="K85" i="3"/>
  <c r="H83" i="3"/>
  <c r="I83" i="3"/>
  <c r="J83" i="3"/>
  <c r="K83" i="3"/>
  <c r="I64" i="3"/>
  <c r="J64" i="3"/>
  <c r="K64" i="3"/>
  <c r="I65" i="3"/>
  <c r="J65" i="3"/>
  <c r="K65" i="3"/>
  <c r="I66" i="3"/>
  <c r="J66" i="3"/>
  <c r="K66" i="3"/>
  <c r="I67" i="3"/>
  <c r="J67" i="3"/>
  <c r="K67" i="3"/>
  <c r="I68" i="3"/>
  <c r="J68" i="3"/>
  <c r="K68" i="3"/>
  <c r="I69" i="3"/>
  <c r="J69" i="3"/>
  <c r="K69" i="3"/>
  <c r="I70" i="3"/>
  <c r="J70" i="3"/>
  <c r="K70" i="3"/>
  <c r="I71" i="3"/>
  <c r="J71" i="3"/>
  <c r="K71" i="3"/>
  <c r="I72" i="3"/>
  <c r="J72" i="3"/>
  <c r="K72" i="3"/>
  <c r="I73" i="3"/>
  <c r="J73" i="3"/>
  <c r="K73" i="3"/>
  <c r="I74" i="3"/>
  <c r="J74" i="3"/>
  <c r="K74" i="3"/>
  <c r="I75" i="3"/>
  <c r="J75" i="3"/>
  <c r="K75" i="3"/>
  <c r="I76" i="3"/>
  <c r="J76" i="3"/>
  <c r="K76" i="3"/>
  <c r="I77" i="3"/>
  <c r="J77" i="3"/>
  <c r="K77" i="3"/>
  <c r="I78" i="3"/>
  <c r="J78" i="3"/>
  <c r="K78" i="3"/>
  <c r="I79" i="3"/>
  <c r="J79" i="3"/>
  <c r="K79" i="3"/>
  <c r="I80" i="3"/>
  <c r="J80" i="3"/>
  <c r="K80" i="3"/>
  <c r="I81" i="3"/>
  <c r="J81" i="3"/>
  <c r="K81" i="3"/>
  <c r="I82" i="3"/>
  <c r="J82" i="3"/>
  <c r="K82" i="3"/>
  <c r="K63" i="3"/>
  <c r="J63" i="3"/>
  <c r="I63" i="3"/>
  <c r="G83" i="3"/>
  <c r="F64" i="3"/>
  <c r="G64" i="3"/>
  <c r="H64" i="3"/>
  <c r="F65" i="3"/>
  <c r="G65" i="3" s="1"/>
  <c r="H65" i="3" s="1"/>
  <c r="F66" i="3"/>
  <c r="G66" i="3"/>
  <c r="H66" i="3"/>
  <c r="F67" i="3"/>
  <c r="G67" i="3"/>
  <c r="H67" i="3" s="1"/>
  <c r="F68" i="3"/>
  <c r="G68" i="3"/>
  <c r="H68" i="3" s="1"/>
  <c r="F69" i="3"/>
  <c r="G69" i="3"/>
  <c r="H69" i="3"/>
  <c r="F70" i="3"/>
  <c r="G70" i="3" s="1"/>
  <c r="H70" i="3" s="1"/>
  <c r="F71" i="3"/>
  <c r="G71" i="3" s="1"/>
  <c r="H71" i="3" s="1"/>
  <c r="F72" i="3"/>
  <c r="G72" i="3"/>
  <c r="H72" i="3"/>
  <c r="F73" i="3"/>
  <c r="G73" i="3" s="1"/>
  <c r="H73" i="3" s="1"/>
  <c r="F74" i="3"/>
  <c r="G74" i="3"/>
  <c r="H74" i="3"/>
  <c r="F75" i="3"/>
  <c r="G75" i="3"/>
  <c r="H75" i="3" s="1"/>
  <c r="F76" i="3"/>
  <c r="G76" i="3"/>
  <c r="H76" i="3" s="1"/>
  <c r="F77" i="3"/>
  <c r="G77" i="3"/>
  <c r="H77" i="3"/>
  <c r="F78" i="3"/>
  <c r="G78" i="3" s="1"/>
  <c r="H78" i="3" s="1"/>
  <c r="F79" i="3"/>
  <c r="G79" i="3" s="1"/>
  <c r="H79" i="3" s="1"/>
  <c r="F80" i="3"/>
  <c r="G80" i="3"/>
  <c r="H80" i="3"/>
  <c r="F81" i="3"/>
  <c r="G81" i="3" s="1"/>
  <c r="H81" i="3" s="1"/>
  <c r="F82" i="3"/>
  <c r="G82" i="3"/>
  <c r="H82" i="3"/>
  <c r="H63" i="3"/>
  <c r="H44" i="3"/>
  <c r="G63" i="3"/>
  <c r="G44" i="3"/>
  <c r="F63" i="3"/>
  <c r="F44" i="3"/>
  <c r="E65" i="3"/>
  <c r="E66" i="3" s="1"/>
  <c r="E67" i="3" s="1"/>
  <c r="E68" i="3" s="1"/>
  <c r="E69" i="3" s="1"/>
  <c r="E70" i="3" s="1"/>
  <c r="E71" i="3" s="1"/>
  <c r="E72" i="3" s="1"/>
  <c r="E73" i="3" s="1"/>
  <c r="E74" i="3" s="1"/>
  <c r="E75" i="3" s="1"/>
  <c r="E76" i="3" s="1"/>
  <c r="E77" i="3" s="1"/>
  <c r="E78" i="3" s="1"/>
  <c r="E79" i="3" s="1"/>
  <c r="E80" i="3" s="1"/>
  <c r="E81" i="3" s="1"/>
  <c r="E82" i="3" s="1"/>
  <c r="E64" i="3"/>
  <c r="E45" i="3"/>
  <c r="D64" i="3"/>
  <c r="D65" i="3"/>
  <c r="D66" i="3"/>
  <c r="D67" i="3"/>
  <c r="D68" i="3"/>
  <c r="D69" i="3"/>
  <c r="D70" i="3"/>
  <c r="D71" i="3"/>
  <c r="D72" i="3"/>
  <c r="D73" i="3"/>
  <c r="D74" i="3"/>
  <c r="D75" i="3"/>
  <c r="D76" i="3"/>
  <c r="D77" i="3"/>
  <c r="D78" i="3"/>
  <c r="D79" i="3"/>
  <c r="D80" i="3"/>
  <c r="D81" i="3"/>
  <c r="D82" i="3"/>
  <c r="D63" i="3"/>
  <c r="D44" i="3"/>
  <c r="C64" i="3"/>
  <c r="C65" i="3"/>
  <c r="C66" i="3"/>
  <c r="C67" i="3"/>
  <c r="C68" i="3"/>
  <c r="C69" i="3"/>
  <c r="C70" i="3"/>
  <c r="C71" i="3"/>
  <c r="C72" i="3"/>
  <c r="C73" i="3"/>
  <c r="C74" i="3"/>
  <c r="C75" i="3"/>
  <c r="C76" i="3"/>
  <c r="C77" i="3"/>
  <c r="C78" i="3"/>
  <c r="C79" i="3"/>
  <c r="C80" i="3"/>
  <c r="C81" i="3"/>
  <c r="C82" i="3"/>
  <c r="C63" i="3"/>
  <c r="C44" i="3"/>
  <c r="E63" i="3"/>
  <c r="B63" i="3"/>
  <c r="B64" i="3"/>
  <c r="I45" i="3"/>
  <c r="J45" i="3"/>
  <c r="K45" i="3"/>
  <c r="I46" i="3"/>
  <c r="J46" i="3"/>
  <c r="K46" i="3"/>
  <c r="I47" i="3"/>
  <c r="J47" i="3"/>
  <c r="K47" i="3"/>
  <c r="I48" i="3"/>
  <c r="J48" i="3"/>
  <c r="K48" i="3"/>
  <c r="I49" i="3"/>
  <c r="J49" i="3"/>
  <c r="K49" i="3"/>
  <c r="I50" i="3"/>
  <c r="J50" i="3"/>
  <c r="K50" i="3"/>
  <c r="I51" i="3"/>
  <c r="J51" i="3"/>
  <c r="K51" i="3"/>
  <c r="I52" i="3"/>
  <c r="J52" i="3"/>
  <c r="K52" i="3"/>
  <c r="I53" i="3"/>
  <c r="J53" i="3"/>
  <c r="K53" i="3"/>
  <c r="I54" i="3"/>
  <c r="J54" i="3"/>
  <c r="K54" i="3"/>
  <c r="I55" i="3"/>
  <c r="J55" i="3"/>
  <c r="K55" i="3"/>
  <c r="J44" i="3"/>
  <c r="I44" i="3"/>
  <c r="G56" i="3"/>
  <c r="G45" i="3"/>
  <c r="H45" i="3" s="1"/>
  <c r="G46" i="3"/>
  <c r="G47" i="3"/>
  <c r="G48" i="3"/>
  <c r="G49" i="3"/>
  <c r="G50" i="3"/>
  <c r="H50" i="3" s="1"/>
  <c r="G51" i="3"/>
  <c r="G52" i="3"/>
  <c r="H52" i="3" s="1"/>
  <c r="G53" i="3"/>
  <c r="H53" i="3" s="1"/>
  <c r="G54" i="3"/>
  <c r="G55" i="3"/>
  <c r="H46" i="3"/>
  <c r="H47" i="3"/>
  <c r="H48" i="3"/>
  <c r="H49" i="3"/>
  <c r="H51" i="3"/>
  <c r="H54" i="3"/>
  <c r="H55" i="3"/>
  <c r="B20" i="2"/>
  <c r="J97" i="2" s="1"/>
  <c r="C38" i="3"/>
  <c r="C39" i="3" s="1"/>
  <c r="K57" i="3" s="1"/>
  <c r="L43" i="1" l="1"/>
  <c r="AT43" i="1"/>
  <c r="K134" i="2"/>
  <c r="B65" i="3"/>
  <c r="H56" i="3"/>
  <c r="K84" i="3"/>
  <c r="B66" i="3" l="1"/>
  <c r="B67" i="3" l="1"/>
  <c r="B68" i="3" l="1"/>
  <c r="B69" i="3" l="1"/>
  <c r="B70" i="3" l="1"/>
  <c r="B71" i="3" l="1"/>
  <c r="B72" i="3" l="1"/>
  <c r="B73" i="3" l="1"/>
  <c r="B74" i="3" l="1"/>
  <c r="H5" i="3" l="1"/>
  <c r="H10" i="3" l="1"/>
  <c r="H7" i="3"/>
  <c r="E44" i="3"/>
  <c r="F45" i="3" l="1"/>
  <c r="B44" i="3"/>
  <c r="E46" i="3"/>
  <c r="F46" i="3" s="1"/>
  <c r="B45" i="3" l="1"/>
  <c r="B75" i="3"/>
  <c r="B76" i="3" s="1"/>
  <c r="B77" i="3" s="1"/>
  <c r="B78" i="3" s="1"/>
  <c r="B79" i="3" s="1"/>
  <c r="B80" i="3" s="1"/>
  <c r="B81" i="3" s="1"/>
  <c r="B82" i="3" s="1"/>
  <c r="E47" i="3"/>
  <c r="F47" i="3" s="1"/>
  <c r="K44" i="3" l="1"/>
  <c r="B46" i="3"/>
  <c r="C45" i="3"/>
  <c r="D45" i="3" s="1"/>
  <c r="B83" i="3"/>
  <c r="E48" i="3"/>
  <c r="F48" i="3" s="1"/>
  <c r="B47" i="3" l="1"/>
  <c r="C46" i="3"/>
  <c r="D46" i="3" s="1"/>
  <c r="E49" i="3"/>
  <c r="F49" i="3" s="1"/>
  <c r="C47" i="3" l="1"/>
  <c r="B48" i="3"/>
  <c r="E50" i="3"/>
  <c r="F50" i="3" s="1"/>
  <c r="C48" i="3" l="1"/>
  <c r="D48" i="3" s="1"/>
  <c r="B49" i="3"/>
  <c r="D47" i="3"/>
  <c r="E51" i="3"/>
  <c r="F51" i="3" s="1"/>
  <c r="C49" i="3" l="1"/>
  <c r="B50" i="3"/>
  <c r="E52" i="3"/>
  <c r="F52" i="3" s="1"/>
  <c r="C50" i="3" l="1"/>
  <c r="D50" i="3" s="1"/>
  <c r="B51" i="3"/>
  <c r="D49" i="3"/>
  <c r="E53" i="3"/>
  <c r="F53" i="3" s="1"/>
  <c r="C51" i="3" l="1"/>
  <c r="B52" i="3"/>
  <c r="E54" i="3"/>
  <c r="F54" i="3" s="1"/>
  <c r="C52" i="3" l="1"/>
  <c r="D52" i="3" s="1"/>
  <c r="B53" i="3"/>
  <c r="D51" i="3"/>
  <c r="E55" i="3"/>
  <c r="F55" i="3" s="1"/>
  <c r="C53" i="3" l="1"/>
  <c r="D53" i="3" s="1"/>
  <c r="B54" i="3"/>
  <c r="E56" i="3"/>
  <c r="B10" i="2"/>
  <c r="C25" i="2" s="1"/>
  <c r="C7" i="2"/>
  <c r="C8" i="2"/>
  <c r="C54" i="3" l="1"/>
  <c r="D54" i="3" s="1"/>
  <c r="B55" i="3"/>
  <c r="C55" i="3" s="1"/>
  <c r="B56" i="3"/>
  <c r="F56" i="3"/>
  <c r="D55" i="3" l="1"/>
  <c r="D56" i="3" s="1"/>
  <c r="C56" i="3"/>
  <c r="I56" i="3"/>
  <c r="J56" i="3" l="1"/>
  <c r="K56" i="3"/>
  <c r="K58" i="3" s="1"/>
  <c r="B17" i="8" l="1"/>
  <c r="B18" i="8" s="1"/>
  <c r="B19" i="8" s="1"/>
  <c r="B20" i="8" l="1"/>
  <c r="B36" i="8" l="1"/>
  <c r="B37" i="8"/>
  <c r="B24" i="8"/>
  <c r="B26" i="8" s="1"/>
  <c r="B35" i="4"/>
  <c r="B15" i="4"/>
  <c r="B27" i="8" l="1"/>
  <c r="B53" i="8"/>
  <c r="B55" i="8" s="1"/>
  <c r="B57" i="8" s="1"/>
  <c r="B60" i="8"/>
  <c r="B61" i="8" s="1"/>
  <c r="B64" i="8" s="1"/>
  <c r="B65" i="8" s="1"/>
  <c r="B66" i="8"/>
  <c r="B67" i="8" s="1"/>
  <c r="B70" i="8" s="1"/>
  <c r="D17" i="4"/>
  <c r="C17" i="4" s="1"/>
  <c r="B17" i="4" s="1"/>
  <c r="E38" i="4"/>
  <c r="E39" i="4" s="1"/>
  <c r="D38" i="4"/>
  <c r="D37" i="4"/>
  <c r="C37" i="4" s="1"/>
  <c r="E18" i="4"/>
  <c r="E19" i="4" s="1"/>
  <c r="D18" i="4"/>
  <c r="B71" i="8" l="1"/>
  <c r="B74" i="8" s="1"/>
  <c r="B73" i="8"/>
  <c r="C83" i="3"/>
  <c r="D19" i="4"/>
  <c r="B19" i="4"/>
  <c r="C19" i="4"/>
  <c r="B37" i="4"/>
  <c r="B39" i="4" s="1"/>
  <c r="C39" i="4"/>
  <c r="D39" i="4"/>
  <c r="D83" i="3" l="1"/>
  <c r="B20" i="4"/>
  <c r="B21" i="4" s="1"/>
  <c r="B26" i="4" s="1"/>
  <c r="B61" i="4" s="1"/>
  <c r="B40" i="4"/>
  <c r="B41" i="4" s="1"/>
  <c r="B45" i="4" s="1"/>
  <c r="B46" i="4" s="1"/>
  <c r="B67" i="4" s="1"/>
  <c r="E83" i="3" l="1"/>
  <c r="B68" i="4"/>
  <c r="B71" i="4" s="1"/>
  <c r="B62" i="4"/>
  <c r="B65" i="4" s="1"/>
  <c r="C52" i="6"/>
  <c r="C53" i="6" s="1"/>
  <c r="C54" i="6" s="1"/>
  <c r="C55" i="6" s="1"/>
  <c r="C56" i="6" s="1"/>
  <c r="C57" i="6" s="1"/>
  <c r="C58" i="6" s="1"/>
  <c r="C59" i="6" s="1"/>
  <c r="C60" i="6" s="1"/>
  <c r="C61" i="6" s="1"/>
  <c r="C62" i="6" s="1"/>
  <c r="C63" i="6" s="1"/>
  <c r="C64" i="6" s="1"/>
  <c r="C65" i="6" s="1"/>
  <c r="C66" i="6" s="1"/>
  <c r="C67" i="6" s="1"/>
  <c r="C68" i="6" s="1"/>
  <c r="C69" i="6" s="1"/>
  <c r="C70" i="6" s="1"/>
  <c r="C71" i="6" s="1"/>
  <c r="C72" i="6" s="1"/>
  <c r="C73" i="6" s="1"/>
  <c r="C74" i="6" s="1"/>
  <c r="C75" i="6" s="1"/>
  <c r="C76" i="6" s="1"/>
  <c r="C77" i="6" s="1"/>
  <c r="C78" i="6" s="1"/>
  <c r="C79" i="6" s="1"/>
  <c r="C80" i="6" s="1"/>
  <c r="B46" i="6"/>
  <c r="C46" i="6"/>
  <c r="D46" i="6"/>
  <c r="E46" i="6"/>
  <c r="F46" i="6"/>
  <c r="G46" i="6"/>
  <c r="H46" i="6"/>
  <c r="I46" i="6"/>
  <c r="C45" i="6"/>
  <c r="D45" i="6"/>
  <c r="E45" i="6"/>
  <c r="F45" i="6"/>
  <c r="G45" i="6"/>
  <c r="H45" i="6"/>
  <c r="I45" i="6"/>
  <c r="B45" i="6"/>
  <c r="B41" i="6"/>
  <c r="C41" i="6"/>
  <c r="D41" i="6"/>
  <c r="E41" i="6"/>
  <c r="F41" i="6"/>
  <c r="G41" i="6"/>
  <c r="H41" i="6"/>
  <c r="I41" i="6"/>
  <c r="B42" i="6"/>
  <c r="C42" i="6"/>
  <c r="D42" i="6"/>
  <c r="E42" i="6"/>
  <c r="F42" i="6"/>
  <c r="G42" i="6"/>
  <c r="H42" i="6"/>
  <c r="I42" i="6"/>
  <c r="B43" i="6"/>
  <c r="C43" i="6"/>
  <c r="D43" i="6"/>
  <c r="E43" i="6"/>
  <c r="F43" i="6"/>
  <c r="G43" i="6"/>
  <c r="H43" i="6"/>
  <c r="I43" i="6"/>
  <c r="B44" i="6"/>
  <c r="C44" i="6"/>
  <c r="D44" i="6"/>
  <c r="E44" i="6"/>
  <c r="F44" i="6"/>
  <c r="G44" i="6"/>
  <c r="H44" i="6"/>
  <c r="I44" i="6"/>
  <c r="C40" i="6"/>
  <c r="D40" i="6"/>
  <c r="E40" i="6"/>
  <c r="F40" i="6"/>
  <c r="G40" i="6"/>
  <c r="H40" i="6"/>
  <c r="I40" i="6"/>
  <c r="B40" i="6"/>
  <c r="B36" i="6"/>
  <c r="C36" i="6"/>
  <c r="D36" i="6"/>
  <c r="E36" i="6"/>
  <c r="F36" i="6"/>
  <c r="G36" i="6"/>
  <c r="H36" i="6"/>
  <c r="I36" i="6"/>
  <c r="B37" i="6"/>
  <c r="C37" i="6"/>
  <c r="D37" i="6"/>
  <c r="E37" i="6"/>
  <c r="F37" i="6"/>
  <c r="G37" i="6"/>
  <c r="H37" i="6"/>
  <c r="I37" i="6"/>
  <c r="B38" i="6"/>
  <c r="C38" i="6"/>
  <c r="D38" i="6"/>
  <c r="E38" i="6"/>
  <c r="F38" i="6"/>
  <c r="G38" i="6"/>
  <c r="H38" i="6"/>
  <c r="I38" i="6"/>
  <c r="B39" i="6"/>
  <c r="C39" i="6"/>
  <c r="D39" i="6"/>
  <c r="E39" i="6"/>
  <c r="F39" i="6"/>
  <c r="G39" i="6"/>
  <c r="H39" i="6"/>
  <c r="I39" i="6"/>
  <c r="C35" i="6"/>
  <c r="D35" i="6"/>
  <c r="E35" i="6"/>
  <c r="F35" i="6"/>
  <c r="G35" i="6"/>
  <c r="H35" i="6"/>
  <c r="I35" i="6"/>
  <c r="B35" i="6"/>
  <c r="B31" i="6"/>
  <c r="C31" i="6"/>
  <c r="D31" i="6"/>
  <c r="E31" i="6"/>
  <c r="F31" i="6"/>
  <c r="G31" i="6"/>
  <c r="H31" i="6"/>
  <c r="I31" i="6"/>
  <c r="B32" i="6"/>
  <c r="C32" i="6"/>
  <c r="D32" i="6"/>
  <c r="E32" i="6"/>
  <c r="F32" i="6"/>
  <c r="G32" i="6"/>
  <c r="H32" i="6"/>
  <c r="I32" i="6"/>
  <c r="B33" i="6"/>
  <c r="C33" i="6"/>
  <c r="D33" i="6"/>
  <c r="E33" i="6"/>
  <c r="F33" i="6"/>
  <c r="G33" i="6"/>
  <c r="H33" i="6"/>
  <c r="I33" i="6"/>
  <c r="B34" i="6"/>
  <c r="C34" i="6"/>
  <c r="D34" i="6"/>
  <c r="E34" i="6"/>
  <c r="F34" i="6"/>
  <c r="G34" i="6"/>
  <c r="H34" i="6"/>
  <c r="I34" i="6"/>
  <c r="C30" i="6"/>
  <c r="D30" i="6"/>
  <c r="E30" i="6"/>
  <c r="F30" i="6"/>
  <c r="G30" i="6"/>
  <c r="H30" i="6"/>
  <c r="I30" i="6"/>
  <c r="B30" i="6"/>
  <c r="B26" i="6"/>
  <c r="C26" i="6"/>
  <c r="D26" i="6"/>
  <c r="E26" i="6"/>
  <c r="F26" i="6"/>
  <c r="G26" i="6"/>
  <c r="H26" i="6"/>
  <c r="I26" i="6"/>
  <c r="B27" i="6"/>
  <c r="C27" i="6"/>
  <c r="D27" i="6"/>
  <c r="E27" i="6"/>
  <c r="F27" i="6"/>
  <c r="G27" i="6"/>
  <c r="H27" i="6"/>
  <c r="I27" i="6"/>
  <c r="B28" i="6"/>
  <c r="C28" i="6"/>
  <c r="D28" i="6"/>
  <c r="E28" i="6"/>
  <c r="F28" i="6"/>
  <c r="G28" i="6"/>
  <c r="H28" i="6"/>
  <c r="I28" i="6"/>
  <c r="B29" i="6"/>
  <c r="C29" i="6"/>
  <c r="D29" i="6"/>
  <c r="E29" i="6"/>
  <c r="F29" i="6"/>
  <c r="G29" i="6"/>
  <c r="H29" i="6"/>
  <c r="I29" i="6"/>
  <c r="C25" i="6"/>
  <c r="D25" i="6"/>
  <c r="E25" i="6"/>
  <c r="F25" i="6"/>
  <c r="G25" i="6"/>
  <c r="H25" i="6"/>
  <c r="I25" i="6"/>
  <c r="B25" i="6"/>
  <c r="B21" i="6"/>
  <c r="C21" i="6"/>
  <c r="D21" i="6"/>
  <c r="E21" i="6"/>
  <c r="F21" i="6"/>
  <c r="G21" i="6"/>
  <c r="H21" i="6"/>
  <c r="I21" i="6"/>
  <c r="B22" i="6"/>
  <c r="C22" i="6"/>
  <c r="D22" i="6"/>
  <c r="E22" i="6"/>
  <c r="F22" i="6"/>
  <c r="G22" i="6"/>
  <c r="H22" i="6"/>
  <c r="I22" i="6"/>
  <c r="B23" i="6"/>
  <c r="C23" i="6"/>
  <c r="D23" i="6"/>
  <c r="E23" i="6"/>
  <c r="F23" i="6"/>
  <c r="G23" i="6"/>
  <c r="H23" i="6"/>
  <c r="I23" i="6"/>
  <c r="B24" i="6"/>
  <c r="C24" i="6"/>
  <c r="D24" i="6"/>
  <c r="E24" i="6"/>
  <c r="F24" i="6"/>
  <c r="G24" i="6"/>
  <c r="H24" i="6"/>
  <c r="I24" i="6"/>
  <c r="C20" i="6"/>
  <c r="D20" i="6"/>
  <c r="E20" i="6"/>
  <c r="F20" i="6"/>
  <c r="G20" i="6"/>
  <c r="H20" i="6"/>
  <c r="I20" i="6"/>
  <c r="B20" i="6"/>
  <c r="B18" i="6"/>
  <c r="C18" i="6"/>
  <c r="D18" i="6"/>
  <c r="E18" i="6"/>
  <c r="F18" i="6"/>
  <c r="G18" i="6"/>
  <c r="H18" i="6"/>
  <c r="I18" i="6"/>
  <c r="B19" i="6"/>
  <c r="C19" i="6"/>
  <c r="D19" i="6"/>
  <c r="E19" i="6"/>
  <c r="F19" i="6"/>
  <c r="G19" i="6"/>
  <c r="H19" i="6"/>
  <c r="I19" i="6"/>
  <c r="I17" i="6"/>
  <c r="H17" i="6"/>
  <c r="G17" i="6"/>
  <c r="F17" i="6"/>
  <c r="E17" i="6"/>
  <c r="D17" i="6"/>
  <c r="C17" i="6"/>
  <c r="B17" i="6"/>
  <c r="A77" i="2"/>
  <c r="A78" i="2"/>
  <c r="A79" i="2"/>
  <c r="A80" i="2"/>
  <c r="A81" i="2"/>
  <c r="A82" i="2"/>
  <c r="A83" i="2"/>
  <c r="A84" i="2"/>
  <c r="A85" i="2"/>
  <c r="A86" i="2"/>
  <c r="A87" i="2"/>
  <c r="A88" i="2"/>
  <c r="A89" i="2"/>
  <c r="A90" i="2"/>
  <c r="A91" i="2"/>
  <c r="A92" i="2"/>
  <c r="A93" i="2"/>
  <c r="A94" i="2"/>
  <c r="A95" i="2"/>
  <c r="B74" i="4" l="1"/>
  <c r="B66" i="4"/>
  <c r="B72" i="4"/>
  <c r="F83" i="3"/>
  <c r="B42" i="2"/>
  <c r="B39" i="2"/>
  <c r="B44" i="2" s="1"/>
  <c r="B75" i="4" l="1"/>
  <c r="A76" i="2"/>
  <c r="G5" i="2"/>
  <c r="D26" i="2" s="1"/>
  <c r="G4" i="2"/>
  <c r="D25" i="2" s="1"/>
  <c r="G25" i="2" l="1"/>
  <c r="H25" i="2" s="1"/>
  <c r="E25" i="2"/>
  <c r="F25" i="2" s="1"/>
  <c r="D27" i="2"/>
  <c r="E6" i="2"/>
  <c r="G26" i="2"/>
  <c r="H26" i="2" s="1"/>
  <c r="E26" i="2"/>
  <c r="F26" i="2" s="1"/>
  <c r="G27" i="2" l="1"/>
  <c r="E27" i="2"/>
  <c r="H27" i="2"/>
  <c r="F27" i="2" l="1"/>
  <c r="B31" i="2" l="1"/>
  <c r="B30" i="2" s="1"/>
  <c r="F30" i="2" s="1"/>
  <c r="C54" i="2" l="1"/>
  <c r="B79" i="2" s="1"/>
  <c r="C63" i="2"/>
  <c r="B88" i="2" s="1"/>
  <c r="C65" i="2"/>
  <c r="B90" i="2" s="1"/>
  <c r="C58" i="2"/>
  <c r="B83" i="2" s="1"/>
  <c r="C53" i="2"/>
  <c r="B78" i="2" s="1"/>
  <c r="C70" i="2"/>
  <c r="B95" i="2" s="1"/>
  <c r="C95" i="2" s="1"/>
  <c r="C51" i="2"/>
  <c r="B76" i="2" s="1"/>
  <c r="C59" i="2"/>
  <c r="B84" i="2" s="1"/>
  <c r="C84" i="2" s="1"/>
  <c r="C68" i="2"/>
  <c r="B93" i="2" s="1"/>
  <c r="C55" i="2"/>
  <c r="B80" i="2" s="1"/>
  <c r="C80" i="2" s="1"/>
  <c r="C67" i="2"/>
  <c r="B92" i="2" s="1"/>
  <c r="C57" i="2"/>
  <c r="B82" i="2" s="1"/>
  <c r="C64" i="2"/>
  <c r="B89" i="2" s="1"/>
  <c r="C89" i="2" s="1"/>
  <c r="C69" i="2"/>
  <c r="B94" i="2" s="1"/>
  <c r="C94" i="2" s="1"/>
  <c r="C62" i="2"/>
  <c r="B87" i="2" s="1"/>
  <c r="C52" i="2"/>
  <c r="B77" i="2" s="1"/>
  <c r="C77" i="2" s="1"/>
  <c r="C61" i="2"/>
  <c r="B86" i="2" s="1"/>
  <c r="C60" i="2"/>
  <c r="B85" i="2" s="1"/>
  <c r="B61" i="2"/>
  <c r="C56" i="2"/>
  <c r="B81" i="2" s="1"/>
  <c r="C66" i="2"/>
  <c r="B91" i="2" s="1"/>
  <c r="C91" i="2" s="1"/>
  <c r="C78" i="2"/>
  <c r="C83" i="2"/>
  <c r="C87" i="2"/>
  <c r="C81" i="2"/>
  <c r="C93" i="2"/>
  <c r="C82" i="2"/>
  <c r="C85" i="2"/>
  <c r="C79" i="2"/>
  <c r="C86" i="2"/>
  <c r="C92" i="2"/>
  <c r="C90" i="2"/>
  <c r="C88" i="2"/>
  <c r="C76" i="2"/>
  <c r="D51" i="2"/>
  <c r="E76" i="2"/>
  <c r="F76" i="2" s="1"/>
  <c r="G76" i="2" s="1"/>
  <c r="B62" i="2"/>
  <c r="B54" i="2"/>
  <c r="B57" i="2"/>
  <c r="B65" i="2"/>
  <c r="B55" i="2"/>
  <c r="B56" i="2"/>
  <c r="B64" i="2"/>
  <c r="B52" i="2"/>
  <c r="B60" i="2"/>
  <c r="B53" i="2"/>
  <c r="B63" i="2"/>
  <c r="B58" i="2"/>
  <c r="B66" i="2"/>
  <c r="B59" i="2"/>
  <c r="E93" i="2"/>
  <c r="D62" i="2"/>
  <c r="E87" i="2"/>
  <c r="D59" i="2"/>
  <c r="E84" i="2"/>
  <c r="D61" i="2"/>
  <c r="E86" i="2"/>
  <c r="F86" i="2" s="1"/>
  <c r="G86" i="2" s="1"/>
  <c r="D54" i="2"/>
  <c r="E79" i="2"/>
  <c r="E94" i="2"/>
  <c r="F94" i="2" s="1"/>
  <c r="G94" i="2" s="1"/>
  <c r="E77" i="2"/>
  <c r="D57" i="2"/>
  <c r="E82" i="2"/>
  <c r="F82" i="2" s="1"/>
  <c r="G82" i="2" s="1"/>
  <c r="D63" i="2"/>
  <c r="E88" i="2"/>
  <c r="E78" i="2"/>
  <c r="D58" i="2"/>
  <c r="E83" i="2"/>
  <c r="E92" i="2"/>
  <c r="D65" i="2"/>
  <c r="E90" i="2"/>
  <c r="D56" i="2"/>
  <c r="E81" i="2"/>
  <c r="D66" i="2"/>
  <c r="D67" i="2"/>
  <c r="D68" i="2"/>
  <c r="B68" i="2"/>
  <c r="B70" i="2"/>
  <c r="B69" i="2"/>
  <c r="B67" i="2"/>
  <c r="B51" i="2"/>
  <c r="D70" i="2" l="1"/>
  <c r="C71" i="2"/>
  <c r="D53" i="2"/>
  <c r="D52" i="2"/>
  <c r="E95" i="2"/>
  <c r="D69" i="2"/>
  <c r="E85" i="2"/>
  <c r="E96" i="2" s="1"/>
  <c r="E89" i="2"/>
  <c r="F89" i="2" s="1"/>
  <c r="G89" i="2" s="1"/>
  <c r="D55" i="2"/>
  <c r="E80" i="2"/>
  <c r="E91" i="2"/>
  <c r="H91" i="2" s="1"/>
  <c r="D60" i="2"/>
  <c r="D64" i="2"/>
  <c r="H90" i="2"/>
  <c r="F90" i="2"/>
  <c r="G90" i="2" s="1"/>
  <c r="D88" i="2"/>
  <c r="H82" i="2"/>
  <c r="D87" i="2"/>
  <c r="H87" i="2"/>
  <c r="F87" i="2"/>
  <c r="G87" i="2" s="1"/>
  <c r="D90" i="2"/>
  <c r="D82" i="2"/>
  <c r="I82" i="2"/>
  <c r="D95" i="2"/>
  <c r="D92" i="2"/>
  <c r="D93" i="2"/>
  <c r="H92" i="2"/>
  <c r="F92" i="2"/>
  <c r="G92" i="2" s="1"/>
  <c r="H78" i="2"/>
  <c r="F78" i="2"/>
  <c r="G78" i="2" s="1"/>
  <c r="H86" i="2"/>
  <c r="D77" i="2"/>
  <c r="D89" i="2"/>
  <c r="H81" i="2"/>
  <c r="F81" i="2"/>
  <c r="G81" i="2" s="1"/>
  <c r="H80" i="2"/>
  <c r="F80" i="2"/>
  <c r="G80" i="2" s="1"/>
  <c r="D86" i="2"/>
  <c r="J86" i="2" s="1"/>
  <c r="I86" i="2"/>
  <c r="D81" i="2"/>
  <c r="D91" i="2"/>
  <c r="F85" i="2"/>
  <c r="G85" i="2" s="1"/>
  <c r="H95" i="2"/>
  <c r="F95" i="2"/>
  <c r="G95" i="2" s="1"/>
  <c r="D80" i="2"/>
  <c r="H94" i="2"/>
  <c r="D83" i="2"/>
  <c r="H93" i="2"/>
  <c r="F93" i="2"/>
  <c r="G93" i="2" s="1"/>
  <c r="H88" i="2"/>
  <c r="F88" i="2"/>
  <c r="G88" i="2" s="1"/>
  <c r="H79" i="2"/>
  <c r="F79" i="2"/>
  <c r="G79" i="2" s="1"/>
  <c r="D79" i="2"/>
  <c r="D94" i="2"/>
  <c r="J94" i="2" s="1"/>
  <c r="I94" i="2"/>
  <c r="D78" i="2"/>
  <c r="J82" i="2"/>
  <c r="H83" i="2"/>
  <c r="F83" i="2"/>
  <c r="G83" i="2" s="1"/>
  <c r="H77" i="2"/>
  <c r="F77" i="2"/>
  <c r="G77" i="2" s="1"/>
  <c r="H84" i="2"/>
  <c r="F84" i="2"/>
  <c r="G84" i="2" s="1"/>
  <c r="C96" i="2"/>
  <c r="I76" i="2"/>
  <c r="D85" i="2"/>
  <c r="D84" i="2"/>
  <c r="H76" i="2"/>
  <c r="D76" i="2"/>
  <c r="B96" i="2"/>
  <c r="D71" i="2"/>
  <c r="B71" i="2"/>
  <c r="I89" i="2" l="1"/>
  <c r="H89" i="2"/>
  <c r="J89" i="2"/>
  <c r="F91" i="2"/>
  <c r="G91" i="2" s="1"/>
  <c r="J91" i="2" s="1"/>
  <c r="H85" i="2"/>
  <c r="Z23" i="1"/>
  <c r="I90" i="2"/>
  <c r="J79" i="2"/>
  <c r="I87" i="2"/>
  <c r="I78" i="2"/>
  <c r="J78" i="2"/>
  <c r="I79" i="2"/>
  <c r="G96" i="2"/>
  <c r="J87" i="2"/>
  <c r="H96" i="2"/>
  <c r="I80" i="2"/>
  <c r="I81" i="2"/>
  <c r="J80" i="2"/>
  <c r="J81" i="2"/>
  <c r="J90" i="2"/>
  <c r="I95" i="2"/>
  <c r="J95" i="2"/>
  <c r="I77" i="2"/>
  <c r="I93" i="2"/>
  <c r="J76" i="2"/>
  <c r="D96" i="2"/>
  <c r="J77" i="2"/>
  <c r="J93" i="2"/>
  <c r="I88" i="2"/>
  <c r="I84" i="2"/>
  <c r="J84" i="2"/>
  <c r="I83" i="2"/>
  <c r="I92" i="2"/>
  <c r="J88" i="2"/>
  <c r="I85" i="2"/>
  <c r="J83" i="2"/>
  <c r="J92" i="2"/>
  <c r="J85" i="2"/>
  <c r="F96" i="2" l="1"/>
  <c r="I91" i="2"/>
  <c r="I96" i="2" s="1"/>
  <c r="F5" i="10"/>
  <c r="AC22" i="1" s="1"/>
  <c r="J5" i="10"/>
  <c r="AT22" i="1" s="1"/>
  <c r="B5" i="10"/>
  <c r="L22" i="1" s="1"/>
  <c r="F4" i="10"/>
  <c r="B4" i="10"/>
  <c r="L21" i="1" s="1"/>
  <c r="L49" i="1" s="1"/>
  <c r="J4" i="10"/>
  <c r="J96" i="2"/>
  <c r="J98" i="2" s="1"/>
  <c r="B14" i="10" l="1"/>
  <c r="B21" i="10" s="1"/>
  <c r="L50" i="1" s="1"/>
  <c r="AC21" i="1"/>
  <c r="AC49" i="1" s="1"/>
  <c r="F14" i="10"/>
  <c r="B22" i="10"/>
  <c r="AT21" i="1"/>
  <c r="AT49" i="1" s="1"/>
  <c r="J14" i="10"/>
  <c r="J21" i="10" l="1"/>
  <c r="AT50" i="1" s="1"/>
  <c r="J22" i="10"/>
  <c r="F21" i="10"/>
  <c r="AC50" i="1" s="1"/>
  <c r="F22" i="10"/>
  <c r="D10" i="11" l="1"/>
  <c r="D11" i="11" s="1"/>
  <c r="J20" i="11"/>
  <c r="G20" i="11"/>
  <c r="H20" i="11" s="1"/>
  <c r="K23" i="11"/>
  <c r="H23" i="11"/>
  <c r="J21" i="11"/>
  <c r="G22" i="11"/>
  <c r="J22" i="11"/>
  <c r="M24" i="11"/>
  <c r="D20" i="11"/>
  <c r="D21" i="11"/>
  <c r="D22" i="11"/>
  <c r="E23" i="11"/>
  <c r="K20" i="11" l="1"/>
  <c r="E22" i="11"/>
  <c r="K22" i="11"/>
  <c r="K21" i="11"/>
  <c r="H22" i="11"/>
  <c r="E21" i="11"/>
  <c r="D24" i="11"/>
  <c r="D53" i="11"/>
  <c r="G24" i="11"/>
  <c r="G10" i="11"/>
  <c r="G11" i="11" s="1"/>
  <c r="J24" i="11"/>
  <c r="E20" i="11"/>
  <c r="M53" i="11" l="1"/>
  <c r="K53" i="11"/>
  <c r="H24" i="11"/>
  <c r="K24" i="11"/>
  <c r="H10" i="11"/>
  <c r="H11" i="11" s="1"/>
  <c r="F11" i="11" s="1"/>
  <c r="E24" i="11"/>
  <c r="E53" i="11" l="1"/>
  <c r="N53" i="11"/>
  <c r="J53" i="11"/>
  <c r="G53" i="11"/>
  <c r="H53" i="11"/>
</calcChain>
</file>

<file path=xl/sharedStrings.xml><?xml version="1.0" encoding="utf-8"?>
<sst xmlns="http://schemas.openxmlformats.org/spreadsheetml/2006/main" count="1398" uniqueCount="596">
  <si>
    <t>Electric Vehicle Charging Infrastructure</t>
  </si>
  <si>
    <t xml:space="preserve">Location </t>
  </si>
  <si>
    <t>Mode served</t>
  </si>
  <si>
    <t>No. chargers</t>
  </si>
  <si>
    <t>No. car parking spaces</t>
  </si>
  <si>
    <t>Additional 7KW dual posts</t>
  </si>
  <si>
    <t>EV spaces</t>
  </si>
  <si>
    <t>Additional  50KW rapid charger</t>
  </si>
  <si>
    <t>EV space</t>
  </si>
  <si>
    <t>Additional EV spaces in total</t>
  </si>
  <si>
    <t>Derived from programme information provided by Nottingham CC</t>
  </si>
  <si>
    <t>charge cycles per day (weekday)</t>
  </si>
  <si>
    <t>Based on Nottingham GUL programme monitoring</t>
  </si>
  <si>
    <t>charge cycles per day (weekend)</t>
  </si>
  <si>
    <t>Working days per annum</t>
  </si>
  <si>
    <t>Weekend/bank holiday days per annum</t>
  </si>
  <si>
    <t>Spaces</t>
  </si>
  <si>
    <t>Charge cycles / weekday</t>
  </si>
  <si>
    <t>Reduction in ICE car trip KM/weekday</t>
  </si>
  <si>
    <t>Charge cycles / weekend</t>
  </si>
  <si>
    <t>Reduction in ICE car trip KM/weekend</t>
  </si>
  <si>
    <t>Totals</t>
  </si>
  <si>
    <t>Valuation of benefits</t>
  </si>
  <si>
    <t>Appraisal Year</t>
  </si>
  <si>
    <t>Reduced car vehicle trips</t>
  </si>
  <si>
    <t>Estimate of tCO2e saved</t>
  </si>
  <si>
    <t>Total</t>
  </si>
  <si>
    <t>Discounted at 3.5% per annum</t>
  </si>
  <si>
    <t>Estimated vehicle trips reduced by EV charge point installations</t>
  </si>
  <si>
    <t>Target Levelling Up Fund locations</t>
  </si>
  <si>
    <t>Annualised values (2021-22)</t>
  </si>
  <si>
    <t>EV charge point utilisation in Nottingham</t>
  </si>
  <si>
    <t>Estimated change in ICE private car trips / annum (switch to EV)</t>
  </si>
  <si>
    <t>Estimated change in ICE private car trip KM / annum (switch to EV)</t>
  </si>
  <si>
    <t>Reduced ICE car KM</t>
  </si>
  <si>
    <t xml:space="preserve">Co2e direct emission per km - average vehicle - unknown fuel type </t>
  </si>
  <si>
    <t xml:space="preserve">Source: </t>
  </si>
  <si>
    <t>https://www.gov.uk/government/publications/greenhouse-gas-reporting-conversion-factors-2019</t>
  </si>
  <si>
    <t>Average Vehicle, Unknown Fuel</t>
  </si>
  <si>
    <t>UK Government GHG reporting: conversion factors (2020), passenger vehicles</t>
  </si>
  <si>
    <t xml:space="preserve">ICE car: Kg/CO2e emitted/km </t>
  </si>
  <si>
    <t>Average Car, PHEV</t>
  </si>
  <si>
    <t>Average Car, BEV</t>
  </si>
  <si>
    <t>Scope 2 electricty used for PHEVs: Kg/CO2e emitted/km</t>
  </si>
  <si>
    <t>Scope 3 T&amp;D electricity for PHEVs: Kg/CO2e emitted/km</t>
  </si>
  <si>
    <t>Scope 2 electricty for BEVs: Kg/CO2e emitted/km</t>
  </si>
  <si>
    <t>Scope 3 T&amp;D electricity for BEVs: Kg/CO2e emitted/km</t>
  </si>
  <si>
    <t>Total for PHEVs</t>
  </si>
  <si>
    <t>Total for BEVs</t>
  </si>
  <si>
    <t>CO2e indirect emission per km - average PHEV and BEV</t>
  </si>
  <si>
    <t>Proportion of plug-in vehicles that are PHEV</t>
  </si>
  <si>
    <t>Proportion of plug-in vehicles that are BEV</t>
  </si>
  <si>
    <t>Net CO2e emissions per average vehicle Km travelled</t>
  </si>
  <si>
    <t xml:space="preserve">Estimated change in net CO2e emissions </t>
  </si>
  <si>
    <t>Kg/CO2e emitted/Km - Average car net of emissions associated with PHEV/BEV electricity consumption and transmission emissions</t>
  </si>
  <si>
    <t>WebTAG Table A 5.4.2: Marginal External Costs by road type and congestion band</t>
  </si>
  <si>
    <t>Pence per Km (2010 prices)</t>
  </si>
  <si>
    <t>Congestion average (inner and outer conurbation A roads)</t>
  </si>
  <si>
    <t>Infrastructure</t>
  </si>
  <si>
    <t>Accident</t>
  </si>
  <si>
    <t>Local Air Quality</t>
  </si>
  <si>
    <t>Noise</t>
  </si>
  <si>
    <t>Greenhouse Gases</t>
  </si>
  <si>
    <t>Indirect Taxation</t>
  </si>
  <si>
    <t>Decongestion benefits (appraisal period)</t>
  </si>
  <si>
    <t>Congestion</t>
  </si>
  <si>
    <t>Discount rate applied to future benefits</t>
  </si>
  <si>
    <t>per annum</t>
  </si>
  <si>
    <t>HM Treasury Green Book guidance for 0-30 years</t>
  </si>
  <si>
    <t>First scheme year value</t>
  </si>
  <si>
    <t>of 2024 values</t>
  </si>
  <si>
    <t>TAG Marginal External Costs (Inner and Outer Conurbations - A roads - Cars)</t>
  </si>
  <si>
    <t>Applied for 30 years</t>
  </si>
  <si>
    <t>of 2022 values</t>
  </si>
  <si>
    <t>GDP Deflator (from TAG data book Annual Parameters)</t>
  </si>
  <si>
    <t xml:space="preserve">2010 = </t>
  </si>
  <si>
    <t>Year</t>
  </si>
  <si>
    <t>Index</t>
  </si>
  <si>
    <t>Local Air Quality and GHG benefits associated with shift from car to PHEV + BEV</t>
  </si>
  <si>
    <t>Greenhouse Gases Workbook - Worksheet 1</t>
  </si>
  <si>
    <t>Scheme Name:</t>
  </si>
  <si>
    <t>Present Value Base Year</t>
  </si>
  <si>
    <t>Current Year</t>
  </si>
  <si>
    <t>Proposal Opening year:</t>
  </si>
  <si>
    <t>Road/Rail</t>
  </si>
  <si>
    <t>Road</t>
  </si>
  <si>
    <t>Project (Road/Rail or Road and Rail):</t>
  </si>
  <si>
    <t>Rail</t>
  </si>
  <si>
    <t xml:space="preserve"> </t>
  </si>
  <si>
    <t>Overall Assessment Score:</t>
  </si>
  <si>
    <t>Net Present Value of carbon dioxide equivalent emissions of proposal (£):</t>
  </si>
  <si>
    <r>
      <t xml:space="preserve">*positive value reflects a </t>
    </r>
    <r>
      <rPr>
        <b/>
        <sz val="7"/>
        <rFont val="Arial"/>
        <family val="2"/>
      </rPr>
      <t>net benefit</t>
    </r>
    <r>
      <rPr>
        <sz val="7"/>
        <rFont val="Arial"/>
        <family val="2"/>
      </rPr>
      <t xml:space="preserve"> (i.e. CO2E emissions reduction)</t>
    </r>
  </si>
  <si>
    <t>Quantitative Assessment:</t>
  </si>
  <si>
    <t>Change in carbon dioxide equivalent emissions over 60 year appraisal period (tonnes):</t>
  </si>
  <si>
    <t>(between 'with scheme' and 'without scheme' scenarios)</t>
  </si>
  <si>
    <t>Of which Traded</t>
  </si>
  <si>
    <t>Change in carbon dioxide equivalent emissions in opening year (tonnes):</t>
  </si>
  <si>
    <t>Net Present Value of traded sector carbon dioxide equivalent emissions of proposal (£):</t>
  </si>
  <si>
    <r>
      <t xml:space="preserve">(N.B. this is </t>
    </r>
    <r>
      <rPr>
        <u/>
        <sz val="11"/>
        <rFont val="Arial"/>
        <family val="2"/>
      </rPr>
      <t>not</t>
    </r>
    <r>
      <rPr>
        <sz val="11"/>
        <rFont val="Arial"/>
        <family val="2"/>
      </rPr>
      <t xml:space="preserve"> additional to the appraisal value in cell I17, as the cost of traded sector emissions is assumed to be internalised into market prices. See TAG Unit A3 for further details)</t>
    </r>
  </si>
  <si>
    <t>Change in carbon dioxide equivalent emissions by carbon budget period:</t>
  </si>
  <si>
    <t>Carbon Budget 1</t>
  </si>
  <si>
    <t>Carbon Budget 2</t>
  </si>
  <si>
    <t>Carbon Budget 3</t>
  </si>
  <si>
    <t>Carbon Budget 4</t>
  </si>
  <si>
    <t>Traded sector</t>
  </si>
  <si>
    <t>Non-traded sector</t>
  </si>
  <si>
    <t>Qualitative Comments:</t>
  </si>
  <si>
    <t>Sensitivity Analysis:</t>
  </si>
  <si>
    <t>Upper Estimate Net Present Value of Carbon dioxide  Emissions of Proposal (£):</t>
  </si>
  <si>
    <t>Lower Estimate Net Present Value of Carbon dioxide Emissions of Proposal (£):</t>
  </si>
  <si>
    <t>Data Sources:</t>
  </si>
  <si>
    <t>GHG Workbook calculation (sense check of TAG MEC values)</t>
  </si>
  <si>
    <t>Intervention</t>
  </si>
  <si>
    <t>Introduction of new EV charging points at target Levelling Up Fund locations, focused on off-street parking locations in residential areas where the majority of vehicles are parked on-street</t>
  </si>
  <si>
    <t>Intervention description</t>
  </si>
  <si>
    <t>Target population</t>
  </si>
  <si>
    <t>People walking and cycling in Nottingham, plus people who use other modes but might be encouraged to walk and cycle more by the improvements</t>
  </si>
  <si>
    <t>A range of (unspecified) footway, cycle route, signage and pedestrian crossing improvements, combined with targeted upgrades and resurfacing of poor quality footway, cycle path and highway surfaces.</t>
  </si>
  <si>
    <t>Target locations</t>
  </si>
  <si>
    <t>Intended to complement ongoing Transforming Cities Fund Tranche 1 &amp; 2 + Active Travel Fund interventions that are focused on corridors, the LUF interventions will focus on enhancing links to primary routes.</t>
  </si>
  <si>
    <t>Scheme value</t>
  </si>
  <si>
    <t>£12.5m spread over three years, inclusive of Optimism Bias and allowances for risks (at 2022 prices)</t>
  </si>
  <si>
    <t>Assumptions underpinning the Active Mode Appraisal for these interventions</t>
  </si>
  <si>
    <t>Other Urban</t>
  </si>
  <si>
    <t>Opening Year</t>
  </si>
  <si>
    <t>(also the price year, on the basis this is when the bulk of funding will be spent)</t>
  </si>
  <si>
    <t xml:space="preserve">Last year of funding </t>
  </si>
  <si>
    <t>Appraisal period</t>
  </si>
  <si>
    <t>years</t>
  </si>
  <si>
    <t>Local area type</t>
  </si>
  <si>
    <t>Total population</t>
  </si>
  <si>
    <t>ONS Mid-Year Estimates 2019</t>
  </si>
  <si>
    <t>Beneficiary population - cycling</t>
  </si>
  <si>
    <t>% of adults that cycle for any purpose</t>
  </si>
  <si>
    <t>1 x month</t>
  </si>
  <si>
    <t>1 x week</t>
  </si>
  <si>
    <t>3 x week</t>
  </si>
  <si>
    <t>5 x week</t>
  </si>
  <si>
    <t>Source: DfT CW0302</t>
  </si>
  <si>
    <t>Cycle trips per year</t>
  </si>
  <si>
    <t>Est. Cycle trips/day without intervention</t>
  </si>
  <si>
    <t>Beneficiary population - walking</t>
  </si>
  <si>
    <t>Adult population (18-85)</t>
  </si>
  <si>
    <t>% of adults that walk for any purpose</t>
  </si>
  <si>
    <t>Walking trips per year</t>
  </si>
  <si>
    <t>Est. Walking trips/day without intervention</t>
  </si>
  <si>
    <t>Assumed behavioural response to interventions</t>
  </si>
  <si>
    <t>% uplift in cycle trips per day</t>
  </si>
  <si>
    <t>Est. Cycle trips/day with intervention</t>
  </si>
  <si>
    <t>Source:</t>
  </si>
  <si>
    <t>% of an average cycling trip that will use the intervention</t>
  </si>
  <si>
    <t>Assumption based on extent of network being improved</t>
  </si>
  <si>
    <t>% uplift in walk trips per day</t>
  </si>
  <si>
    <t>% of an average walking trip that will use the intervention</t>
  </si>
  <si>
    <t>Est. walk trips/day with intervention</t>
  </si>
  <si>
    <t>Input into AMAT</t>
  </si>
  <si>
    <t>Current cycling infrastructure for this route</t>
  </si>
  <si>
    <t>Shared bus lane</t>
  </si>
  <si>
    <t>Proposed new cycling infrastructure for this route</t>
  </si>
  <si>
    <t>On-road segregated cycle lane</t>
  </si>
  <si>
    <t>Indicative type of existing infrastructure present in the kinds of locations that are likely to be improved. Varies by location, but a reasonable proxy.</t>
  </si>
  <si>
    <t>Indicative type of future infrastructure that will exist after the LUF investments. Varies by location, but a reasonable proxy.</t>
  </si>
  <si>
    <t>Input into AMAT (without scheme trips)</t>
  </si>
  <si>
    <t>Nottingham LSTF outcome evaluation - comparing walking levels with background national trends, and reflecting on 20mph zone impacts: https://assets.publishing.service.gov.uk/government/uploads/system/uploads/attachment_data/file/738267/meta-analysis-of-lstf-large-projects-final-report.pdf (Pg 165 - 178)</t>
  </si>
  <si>
    <t>Estimated additional walking trips/day</t>
  </si>
  <si>
    <t>Total population - Nottingham City</t>
  </si>
  <si>
    <t xml:space="preserve">Adult population (18-85) - Nottingham City </t>
  </si>
  <si>
    <t>Source: DfT CW0303</t>
  </si>
  <si>
    <t>Est. Walking trips/year without intervention</t>
  </si>
  <si>
    <t>Est. Cycle trips/year without intervention</t>
  </si>
  <si>
    <t>Assumed change in walking infrastructure (owing to LUF investments)</t>
  </si>
  <si>
    <t>Assumed change in cycle infrastructure (owing to LUF investments)</t>
  </si>
  <si>
    <t>Infrastructure type</t>
  </si>
  <si>
    <t>Current</t>
  </si>
  <si>
    <t>Proposed</t>
  </si>
  <si>
    <t>Street lighting</t>
  </si>
  <si>
    <t>Kerb level</t>
  </si>
  <si>
    <t>Crowding</t>
  </si>
  <si>
    <t>Pavement evenness</t>
  </si>
  <si>
    <t>Information panels</t>
  </si>
  <si>
    <t>Benches</t>
  </si>
  <si>
    <t>Directional signage</t>
  </si>
  <si>
    <t>Yes</t>
  </si>
  <si>
    <t>No</t>
  </si>
  <si>
    <t>Indicative of no change to street lighting quality in target areas</t>
  </si>
  <si>
    <t>Indicative of expected introduction of level access road crossing points in some locations</t>
  </si>
  <si>
    <t>indicative of no change to crowding on the basis that alleviating pedestrian congestion is not a primary aim of the scheme</t>
  </si>
  <si>
    <t>Streets for People - AMAT assumptions, input values and outputs</t>
  </si>
  <si>
    <t>Indicative of primary objecitve being to upgrade the quality of uneven/poorly surfaced pedestrian footways</t>
  </si>
  <si>
    <t>Indicative of addiitonal information boards/panels not forming a primary objective of the scheme</t>
  </si>
  <si>
    <t>Indicative of new benches and improved seating/rest areas being improved along some walking routes</t>
  </si>
  <si>
    <t>Indicative of the introduction of new directional signage along some walking routes</t>
  </si>
  <si>
    <t>BCR</t>
  </si>
  <si>
    <t>PVC</t>
  </si>
  <si>
    <t>PVB</t>
  </si>
  <si>
    <t>Private contribution</t>
  </si>
  <si>
    <t>Government costs</t>
  </si>
  <si>
    <t>Indirect taxation</t>
  </si>
  <si>
    <t>Journey ambience</t>
  </si>
  <si>
    <t>Absenteeism</t>
  </si>
  <si>
    <t>Reduced risk of premature death</t>
  </si>
  <si>
    <t>Greenhouse gases</t>
  </si>
  <si>
    <t>Local air quality</t>
  </si>
  <si>
    <t>Journey quality</t>
  </si>
  <si>
    <t>Health</t>
  </si>
  <si>
    <t>Infrastructure maintenance</t>
  </si>
  <si>
    <t>Mode shift</t>
  </si>
  <si>
    <t>Congestion benefit</t>
  </si>
  <si>
    <t xml:space="preserve">Benefits by type: </t>
  </si>
  <si>
    <t>Analysis of Monetised Costs and Benefits</t>
  </si>
  <si>
    <t>(in £'000s)</t>
  </si>
  <si>
    <t>£'000s</t>
  </si>
  <si>
    <t>%</t>
  </si>
  <si>
    <t>Core scenario outputs from AMAT (in line with parameters defined above)</t>
  </si>
  <si>
    <t>Low Traffic Neighbourhood interventions at 20 schools in Nottingham City, focused on improving the quality and safety of walking, cycling and road crossing facilities in the vicinity of schools</t>
  </si>
  <si>
    <t>Young people and children walking and cycling to school in Nottingham, plus people who currently use other modes for these trips but might be encouraged to walk and cycle more by the improvements</t>
  </si>
  <si>
    <t>Intended to complement ongoing Transforming Cities Fund Tranche 1 &amp; 2 + Active Travel Fund interventions that are focused on corridors, the LUF interventions will focus on enhancing links to schools.</t>
  </si>
  <si>
    <t>£2.0m spread over three years, inclusive of Optimism Bias and allowances for risks (at 2022 prices)</t>
  </si>
  <si>
    <t>Number of primary, secondary and tertiary education facilities</t>
  </si>
  <si>
    <t>Pupil population (aged 4 - 18)</t>
  </si>
  <si>
    <t>Jan 2021 Pupil Characteristics dataset (Nottingham Insight: https://www.nottinghaminsight.org.uk/Document-Library/Document-Library/aAXJWAM)</t>
  </si>
  <si>
    <t>https://www.compare-school-performance.service.gov.uk/schools-by-type?step=phase&amp;region=892&amp;geographic=la&amp;page=2&amp;phase=all&amp;For=abspop&amp;BasedOn=Pupil+population</t>
  </si>
  <si>
    <t>Target number of beneficiary schools</t>
  </si>
  <si>
    <t>Expressed as a percentage of total schools</t>
  </si>
  <si>
    <t>Estimated pupil beneficiary population</t>
  </si>
  <si>
    <t>Estimated parent/guardian uplift</t>
  </si>
  <si>
    <t>Dialogue with NCC officers on achievable Low Traffic Neighbourhood interventions</t>
  </si>
  <si>
    <t>Total potential beneficiaries</t>
  </si>
  <si>
    <t>% walking to school (without scheme)</t>
  </si>
  <si>
    <t>NTS0615 Usual mode of travel to school by age group (5-16 years)</t>
  </si>
  <si>
    <t>Estimated No. people at target schools cycling (without scheme)</t>
  </si>
  <si>
    <t>Input into AMAT (without scheme cycling trips)</t>
  </si>
  <si>
    <t>Assumes parents are cycling to school with children / influenced by their cycling</t>
  </si>
  <si>
    <t>Estimate No. people at target schools cycling (with scheme)</t>
  </si>
  <si>
    <t>Estimated without scheme cycle trips and behavioural response to School Streets interventions</t>
  </si>
  <si>
    <t>Indicative type of existing infrastructure present around schools that are likely to be improved. Varies by location, but a reasonable proxy.</t>
  </si>
  <si>
    <t>Indicative type of environment that will be created through permanent school streets interventions around schools</t>
  </si>
  <si>
    <t>Assumption based on extent of network being improved around the schools</t>
  </si>
  <si>
    <t>On-road segregated cycle track</t>
  </si>
  <si>
    <t>Estimated without scheme walking trips and behavioural response to School Streets interventions</t>
  </si>
  <si>
    <t>TAG databook value</t>
  </si>
  <si>
    <t>road</t>
  </si>
  <si>
    <t>Input into AMAT (without scheme walking trips)</t>
  </si>
  <si>
    <t>Assumes parents are walking to school with children / influenced by their walking</t>
  </si>
  <si>
    <t>Estimated No. walking trips/day (without scheme)</t>
  </si>
  <si>
    <t>Forecast uplift in walking trips to target schools/day</t>
  </si>
  <si>
    <t>Estimate No. walking trips/day (with scheme)</t>
  </si>
  <si>
    <t>Forecast uplift in cycling trips to target schools</t>
  </si>
  <si>
    <r>
      <t>Based on a conservative 3% point reduction in car trips to school, as reported in TfQL's evaluation of school streets impacts at 27 schools in 7 local authority areas (</t>
    </r>
    <r>
      <rPr>
        <b/>
        <sz val="11"/>
        <color theme="1"/>
        <rFont val="Calibri"/>
        <family val="2"/>
        <scheme val="minor"/>
      </rPr>
      <t>https://static1.squarespace.com/static/5c61621bab1a620ddea3ce27/t/5ffc92db4a46e1130cfd8d9a/1610388193174/School+Streets+-+Possible.pdf), and equates to an assumed 1% point increase in cycling to school and a 1% point reduction in driving to school</t>
    </r>
  </si>
  <si>
    <r>
      <t>Based on a conservative 3% point reduction in car trips to school, as reported in TfQL's evaluation of school streets impacts at 27 schools in 7 local authority areas (</t>
    </r>
    <r>
      <rPr>
        <b/>
        <sz val="11"/>
        <color theme="1"/>
        <rFont val="Calibri"/>
        <family val="2"/>
        <scheme val="minor"/>
      </rPr>
      <t>https://static1.squarespace.com/static/5c61621bab1a620ddea3ce27/t/5ffc92db4a46e1130cfd8d9a/1610388193174/School+Streets+-+Possible.pdf), and equates to an assumed 2% point increase in walking to school</t>
    </r>
    <r>
      <rPr>
        <sz val="11"/>
        <color theme="1"/>
        <rFont val="Calibri"/>
        <family val="2"/>
        <scheme val="minor"/>
      </rPr>
      <t xml:space="preserve"> and a 2% point reduction in driving to school</t>
    </r>
  </si>
  <si>
    <t>Beneficiary population</t>
  </si>
  <si>
    <t>% pupils cycling to school (without scheme)</t>
  </si>
  <si>
    <t>Assumes one parent/guardian beneficiary per pupil/student</t>
  </si>
  <si>
    <t>School Streets - AMAT assumptions, input values and outputs</t>
  </si>
  <si>
    <t>Appraisal Summary Table</t>
  </si>
  <si>
    <t xml:space="preserve">Date produced: </t>
  </si>
  <si>
    <t>Contact:</t>
  </si>
  <si>
    <t xml:space="preserve">Name of scheme: </t>
  </si>
  <si>
    <t>Name</t>
  </si>
  <si>
    <t xml:space="preserve">Description of scheme: </t>
  </si>
  <si>
    <t>Organisation</t>
  </si>
  <si>
    <t>Role</t>
  </si>
  <si>
    <t>Promoter/Official</t>
  </si>
  <si>
    <t>Impacts</t>
  </si>
  <si>
    <t>Summary of key impacts</t>
  </si>
  <si>
    <t>Assessment</t>
  </si>
  <si>
    <t>Quantitative</t>
  </si>
  <si>
    <t>Qualitative</t>
  </si>
  <si>
    <t>Monetary</t>
  </si>
  <si>
    <t>Distributional</t>
  </si>
  <si>
    <t>£(NPV)</t>
  </si>
  <si>
    <t>7-pt scale/ vulnerable grp</t>
  </si>
  <si>
    <t>Economy</t>
  </si>
  <si>
    <t>Business users &amp; transport providers</t>
  </si>
  <si>
    <t>Value of journey time changes(£)</t>
  </si>
  <si>
    <t>Net journey time changes (£)</t>
  </si>
  <si>
    <t>0 to 2min</t>
  </si>
  <si>
    <t>2 to 5min</t>
  </si>
  <si>
    <t>&gt; 5min</t>
  </si>
  <si>
    <t>Reliability impact on Business users</t>
  </si>
  <si>
    <t>Regeneration</t>
  </si>
  <si>
    <t>Wider Impacts</t>
  </si>
  <si>
    <t>Environmental</t>
  </si>
  <si>
    <t>Air Quality</t>
  </si>
  <si>
    <t>Change in non-traded carbon over 60y (CO2e)</t>
  </si>
  <si>
    <t>Landscape</t>
  </si>
  <si>
    <t>Townscape</t>
  </si>
  <si>
    <t>Historic Environment</t>
  </si>
  <si>
    <t>Biodiversity</t>
  </si>
  <si>
    <t>Water Environment</t>
  </si>
  <si>
    <t xml:space="preserve">Social </t>
  </si>
  <si>
    <t>Commuting and Other users</t>
  </si>
  <si>
    <t>Reliability impact on Commuting and Other users</t>
  </si>
  <si>
    <t>Physical activity</t>
  </si>
  <si>
    <t xml:space="preserve">Journey quality </t>
  </si>
  <si>
    <t>Accidents</t>
  </si>
  <si>
    <t>Security</t>
  </si>
  <si>
    <t>Access to services</t>
  </si>
  <si>
    <t>Affordability</t>
  </si>
  <si>
    <t>Severance</t>
  </si>
  <si>
    <t>Option and non-use values</t>
  </si>
  <si>
    <t>Public Accounts</t>
  </si>
  <si>
    <t>Cost to Broad Transport Budget</t>
  </si>
  <si>
    <t>Indirect Tax Revenues</t>
  </si>
  <si>
    <t>James Ashton</t>
  </si>
  <si>
    <t>Nottingham City Council</t>
  </si>
  <si>
    <t>Nottingham Streets for People, School Streets and Greener Streets programme</t>
  </si>
  <si>
    <t xml:space="preserve"> - Streets for People: Improvements to existing footways, cycle ways and streets within local neighbourhoods
 - School Streets: Measures to reduce traffic around schools and support higher levels of walking and cycling
 - Greener Streets: Large scale upgrade of street lighting to LED standard + expansion of EV Charging network</t>
  </si>
  <si>
    <t>Total daily increase in one-way daily cycling trips</t>
  </si>
  <si>
    <t>Proportion otherwise using a car</t>
  </si>
  <si>
    <t>Literature Review carried out by RAND Europe/Systra for DfT</t>
  </si>
  <si>
    <t>Average length of trip (in Km)</t>
  </si>
  <si>
    <t>National Travel Survey 2019</t>
  </si>
  <si>
    <t xml:space="preserve">  Noise</t>
  </si>
  <si>
    <t>(12)</t>
  </si>
  <si>
    <t xml:space="preserve">  Local Air Quality</t>
  </si>
  <si>
    <t>(13)</t>
  </si>
  <si>
    <t xml:space="preserve">  Greenhouse Gases</t>
  </si>
  <si>
    <t>(14)</t>
  </si>
  <si>
    <t xml:space="preserve">  Journey Quality</t>
  </si>
  <si>
    <t>(15)</t>
  </si>
  <si>
    <t xml:space="preserve">  Physical Activity</t>
  </si>
  <si>
    <t>(16)</t>
  </si>
  <si>
    <t xml:space="preserve">  Accidents</t>
  </si>
  <si>
    <t>(17)</t>
  </si>
  <si>
    <t xml:space="preserve">  Economic Efficiency: Consumer Users (Commuting)</t>
  </si>
  <si>
    <t>(1a)</t>
  </si>
  <si>
    <t xml:space="preserve">  Economic Efficiency: Consumer Users (Other)</t>
  </si>
  <si>
    <t>(1b)</t>
  </si>
  <si>
    <t xml:space="preserve">  Economic Efficiency: Business Users and Providers</t>
  </si>
  <si>
    <t>(5)</t>
  </si>
  <si>
    <t xml:space="preserve">  Wider Public Finances (Indirect Taxation Revenues)</t>
  </si>
  <si>
    <t>- (11) - sign changed from PA table, as PA table represents costs, not benefits</t>
  </si>
  <si>
    <t xml:space="preserve">  Present Value of Benefits (see notes) (PVB)</t>
  </si>
  <si>
    <t>(PVB) = (12) + (13) + (14) + (15) + (16) + (17) + (1a) + (1b) + (5) - (11)</t>
  </si>
  <si>
    <t xml:space="preserve">  Broad Transport Budget</t>
  </si>
  <si>
    <t>(10)</t>
  </si>
  <si>
    <t xml:space="preserve">  Present Value of Costs (see notes)  (PVC)</t>
  </si>
  <si>
    <t>(PVC) = (10)</t>
  </si>
  <si>
    <t xml:space="preserve">  OVERALL IMPACTS</t>
  </si>
  <si>
    <t xml:space="preserve">  Net Present Value  (NPV)</t>
  </si>
  <si>
    <t xml:space="preserve">  NPV=PVB-PVC</t>
  </si>
  <si>
    <t xml:space="preserve">  Benefit to Cost Ratio (BCR)</t>
  </si>
  <si>
    <t xml:space="preserve">  BCR=PVB/PVC</t>
  </si>
  <si>
    <t xml:space="preserve">Note :  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  </t>
  </si>
  <si>
    <t>Estimated change in daily car trips</t>
  </si>
  <si>
    <t>Estimated change in daily car trip lengths (Km)</t>
  </si>
  <si>
    <t>For inclusion in AST</t>
  </si>
  <si>
    <t>Estimated reduction in car trips and Km travelled (core scenario)</t>
  </si>
  <si>
    <t>Convert to two-way trips</t>
  </si>
  <si>
    <t>Assumes 90% of trips also involve an equivalent return trip</t>
  </si>
  <si>
    <t>Estimated change in daily car trip lengths (Km) - to cycling</t>
  </si>
  <si>
    <t>Estimated change in daily car trips - to cycling</t>
  </si>
  <si>
    <t>Estimated total change in daily car trip length (Km to walk/cycle)</t>
  </si>
  <si>
    <t>See Cell E25.  All trips are assumed to have switched from private car use</t>
  </si>
  <si>
    <t>Total daily increase in one-way daily walking trips</t>
  </si>
  <si>
    <t>Estimated total reduction daily car trips (shift to walk/cycle)</t>
  </si>
  <si>
    <t>https://newmotion.com/en/knowledge-center/news-and-updates/the-electric-range-of-an-ev</t>
  </si>
  <si>
    <t>Range values for BEVs + PHEVs derived from this source:</t>
  </si>
  <si>
    <t>Average range of PHEV on a full charge</t>
  </si>
  <si>
    <t>EV + PHEV</t>
  </si>
  <si>
    <t>Average range of BEV on a full charge (Km)</t>
  </si>
  <si>
    <t>Range values have been converted to Km from Miles</t>
  </si>
  <si>
    <t>Average 'full EV' range of vehicles being charged</t>
  </si>
  <si>
    <t>Average range of a BEV / PHEV in the UK in 2021 (Km)</t>
  </si>
  <si>
    <t>From National Travel Survey</t>
  </si>
  <si>
    <t>Average car trip distance in UK (Km)</t>
  </si>
  <si>
    <t>Based on average vehicle trip length from NTS</t>
  </si>
  <si>
    <t>Nottingham_LUF_EV_charging</t>
  </si>
  <si>
    <t>*positive value reflects a net benefit (i.e. CO2E emissions reduction)</t>
  </si>
  <si>
    <t>Prepared as a sense-check of Marginal External Cost derived NPV Benefit values calculated in spreadsheet above (based on reduce internal combustion engine trip distances).</t>
  </si>
  <si>
    <t>Note that a full charge is assumed on the basis that the charge points are being installed in residential areas</t>
  </si>
  <si>
    <t>LED street light lantern replacement</t>
  </si>
  <si>
    <t>Forecast annual energy saving resulting from LED lantern replacement</t>
  </si>
  <si>
    <t>kWh</t>
  </si>
  <si>
    <t>Forecast annual CO2 emission reduction</t>
  </si>
  <si>
    <t xml:space="preserve">Business case based on roads equipment appraisal period of </t>
  </si>
  <si>
    <t>Annual kWhrs pre-LED lantern replacement</t>
  </si>
  <si>
    <t>Annual kWhrs post-LED lantern replacement</t>
  </si>
  <si>
    <t>Carbon factor aplied</t>
  </si>
  <si>
    <t>2020 prices</t>
  </si>
  <si>
    <t>Kg/CO2e per kWhr</t>
  </si>
  <si>
    <t>Tonnes CO2e saved per annum</t>
  </si>
  <si>
    <t xml:space="preserve">Business case based on asset life time based on appraisal period of </t>
  </si>
  <si>
    <t>Tonnes CO2e saved</t>
  </si>
  <si>
    <t>Financial savings (2020 prices)</t>
  </si>
  <si>
    <t>High </t>
  </si>
  <si>
    <t>Central</t>
  </si>
  <si>
    <t>Low</t>
  </si>
  <si>
    <t>Table A 3.4: Non Traded Values, £ per Tonne of CO2e (2010 prices)</t>
  </si>
  <si>
    <t>Non-traded Carbon values (£ per Tonne of CO2e)</t>
  </si>
  <si>
    <t>Total (Nominal Prices)</t>
  </si>
  <si>
    <t>Total (Real Prices)</t>
  </si>
  <si>
    <t>NPV Benefits @ 2010 prices</t>
  </si>
  <si>
    <t>Total (Nominal 2020 Prices)</t>
  </si>
  <si>
    <t>BEIS 2020 UK Electricity KG CO2e:</t>
  </si>
  <si>
    <t xml:space="preserve">https://www.gov.uk/government/publications/greenhouse-gas-reporting-conversion-factors-2021 </t>
  </si>
  <si>
    <t>TAG Data Book Table A3.4</t>
  </si>
  <si>
    <t>Forecast annual energy cost saving for Nottingham City Council, based on straight line assumption of 15.2p/kWhr (no inflation or price changes included)</t>
  </si>
  <si>
    <t>Project costs including risks @5%</t>
  </si>
  <si>
    <t>(2022 prices)</t>
  </si>
  <si>
    <t>(2020 prices)</t>
  </si>
  <si>
    <t>Optimism Bias uplift assumed</t>
  </si>
  <si>
    <t>TAG Unit A1.2: Scheme  Costs (Stage 3 Roads)</t>
  </si>
  <si>
    <t>https://assets.publishing.service.gov.uk/government/uploads/system/uploads/attachment_data/file/940964/tag-a1-2-cost-estimation.pdf</t>
  </si>
  <si>
    <t>Costs including Optimism Bias</t>
  </si>
  <si>
    <t>Net Present Costs (2010 prices)</t>
  </si>
  <si>
    <t>2010 prices</t>
  </si>
  <si>
    <t>NPV Costs @ 2010 prices</t>
  </si>
  <si>
    <t>Indicative BCR (12 yrs)</t>
  </si>
  <si>
    <t>Indicative BCR (20 yrs)</t>
  </si>
  <si>
    <t>Assumed price per kWhr energy</t>
  </si>
  <si>
    <t>2020 energy cost per kWhr (Nottingham City Council)</t>
  </si>
  <si>
    <t xml:space="preserve">Cost of charging points </t>
  </si>
  <si>
    <t>Net Present Cost of Charging Points (2010 prices)</t>
  </si>
  <si>
    <t>(2010 prices)</t>
  </si>
  <si>
    <t>Indicative BCR of scheme</t>
  </si>
  <si>
    <t>Scheme Costs</t>
  </si>
  <si>
    <t>Indicative BCR of scheme (GHG emissions)</t>
  </si>
  <si>
    <t>Financial savings (2010 prices)</t>
  </si>
  <si>
    <t>NPV of financial saving to NCC</t>
  </si>
  <si>
    <t>Valued CO2e savings (2010 prices)</t>
  </si>
  <si>
    <t>Value of CO2e savings (central Carbon valuation, 2022 prices)</t>
  </si>
  <si>
    <t>NPV of GHG emission savings</t>
  </si>
  <si>
    <t>Real (2010) prices</t>
  </si>
  <si>
    <t>Real (2010) Prices</t>
  </si>
  <si>
    <t>Not applicable</t>
  </si>
  <si>
    <t>Not Applicable</t>
  </si>
  <si>
    <t>Value of decongestion benefit(£)</t>
  </si>
  <si>
    <t>Congestion benefits reported below are expected to also positively impact on business users and transport providers, but have not been monetised explicitly.</t>
  </si>
  <si>
    <t>Slight Beneficial - interventions to be focused on areas of Nottingham where population has higher IMD scores.</t>
  </si>
  <si>
    <t>Forecast benefits arise from total reduced vehicle trip numbers associated with targeted pedestrian footway and cycle-way interventions.</t>
  </si>
  <si>
    <t>Streets in target areas become quieter, due to lower levels of motorised vehicle traffic, with a particular focus on areas around schools.</t>
  </si>
  <si>
    <t>Streets in target areas benefit from lower level of localised vehicle emissions, which contribute to poor air quality and associated health inequalities</t>
  </si>
  <si>
    <t>Benefits have not been monetised for this group, but are considered to be included within the monetised decongestion benefit reported.</t>
  </si>
  <si>
    <t>Slight Beneficial - reductions in traffic congestion are likely to be focused on busy areas of existing highway networks where surrounding populations tend to have higher IMD scores.</t>
  </si>
  <si>
    <t>Slight beneficial - interventions to be focused on areas of Nottingham where air quality is poorest and with higher IMD scores.  School children and their parens will particularly benefit from School Streets interventions.</t>
  </si>
  <si>
    <t>Forecast benefits arise from a combination of reduced motorised vehicle trips arising from targeted pedestrian footway and cycle-way interventions, coupled with accelerated switch to Battery and Plug-in Hybrid EV utilisation.</t>
  </si>
  <si>
    <t>Change in traded carbon over 30y (CO2e)</t>
  </si>
  <si>
    <t>Estimated additional cycle trips/day</t>
  </si>
  <si>
    <t>Value of GHGs (2010) prices</t>
  </si>
  <si>
    <t>Estimated Tonnes CO2e saved over appraisal period</t>
  </si>
  <si>
    <t>Reductions in GHGs are due to reduced motorised vehicle trips arising from targeted pedestrian footway and cycle-way interventions, widespread introduction of more energy-efficient LED streetlight lanterns, and accelerated switch to Battery and Plug-in Hybrid EV utilisation through more widespread availablity of charging facilities in residential areas.</t>
  </si>
  <si>
    <t>The bulk (~99%) of GHG emission reduction is forecast to accrue to LED streetlight and EV charging facility interventions. Streets for People and School Streets interventions are marginal, given their focus on improving journey ambience.</t>
  </si>
  <si>
    <t>Journey time reliabiltiy benefits to a minor extent in locations where School Streets and Streets for People interventions encourage mode shift to walking and cycling.</t>
  </si>
  <si>
    <t>Journey time reliability benefits have not been forecast, but are expected to accrue in locations where mode shift to walking and cycling from private car use occurs.</t>
  </si>
  <si>
    <t>Forecast uplift in cycling trips to target schools/day</t>
  </si>
  <si>
    <t>Streets for People and School Streets interventions are expected to encourage more people to walk and cycle in their local areas, replacing some car trips with journeys by these active modes.</t>
  </si>
  <si>
    <t>Preventative health benefits tend to be concentrated on people who are less active currently, whereas absenteeism benefits accrue to employers and wider society.</t>
  </si>
  <si>
    <t>Journey quality improvements focused on walking and cycling routes on local roads that connect into key corridors being improved through ongoing Transforming Cities Fund investments.</t>
  </si>
  <si>
    <t>Streets for People and School Streets interventions are expected to improve the quality of pedestrian footways, cycleways and road crossings on local roads - thereby improving the quality of journeys for people making new and existing walking and cycling trips.</t>
  </si>
  <si>
    <t>Fewer motor vehicle accidents are forecast as a result of mode shift to walking and cycling from private car trips.</t>
  </si>
  <si>
    <t xml:space="preserve">Safety benefits likely to be under-costed on the basis that Streets for People and School Streets interventions will improve the safety of road crossings and </t>
  </si>
  <si>
    <t>Not appraised quantitatively</t>
  </si>
  <si>
    <t>Slight Beneficial - road safety improvements will be focused in local streets in neighbourhoods where surrounding populations have higher IMD scores.</t>
  </si>
  <si>
    <t>Slight Beneficial - reductions in traffic congestion will be focused on busy areas of existing highway networks where surrounding populations have higher IMD scores.</t>
  </si>
  <si>
    <t>Slight Beneficial - Streets for People interventions will focus on improving the quality of walking and cycling routes to key local centres in neighbourhoods where people have become more reliant upon local facilities through the Covid-19 pandemic.</t>
  </si>
  <si>
    <t>Mode shift to walking and cycling modes of travel improves the affordability of travel overall, as people become less reliant upon private car and taxi modes.</t>
  </si>
  <si>
    <t>Improved pedestrian and footway links, coupled with enhanced crossings over main roads, expected to improve severance issues on busier local roads.</t>
  </si>
  <si>
    <t>Streets for People and School Streets interventions are expected to improve access to local services</t>
  </si>
  <si>
    <t>Pedestrian footway and cycle-way accessibility improvements for all users will improve access to local services.</t>
  </si>
  <si>
    <t>Reduced tax revenues from vehicle taxation/fuel duty arising from reduced car use</t>
  </si>
  <si>
    <t>Car tax/fuel duty disbenefit associated with BEV/PHEV not included in central case for economic appraisal on the assumption that vehicle taxation regime will change during the appraisal period for these interventions.</t>
  </si>
  <si>
    <t>NCC operational cost savings</t>
  </si>
  <si>
    <t>Financial value of reduced energy costs savings (presented as benefits) accruing to Nottingham City Council following LED street lantern upgrade</t>
  </si>
  <si>
    <t>Financial value of reduced energy costs savings (presented as benefits) accruing to Nottingham City Council following LED street lantern upgrade.</t>
  </si>
  <si>
    <t xml:space="preserve">Core scenario </t>
  </si>
  <si>
    <t>Central case appraisal (excluding long-term asset management savings attributable to targeted highway investments)</t>
  </si>
  <si>
    <t>High scenario</t>
  </si>
  <si>
    <t>Savings to highway carriageway maintenance may be offset slightly by need for greater walking and cycling network maintenance.</t>
  </si>
  <si>
    <t>More people are able to benefit from low/zero cost modes of travel</t>
  </si>
  <si>
    <t>Slight Beneficial - Streets for People interventions will be focused in local streets in neighbourhoods where household incomes are lower than local and national averages.</t>
  </si>
  <si>
    <t xml:space="preserve"> -5,855,301 kWhr saving of energy consumption per annum for street lighting
 - Equates to -£9,123,182 financial saving over 20 year asset life</t>
  </si>
  <si>
    <t>Savings may be offset slightly by need for ongoing maintainance, although this is expected to be consistent with costs for existing street light assets</t>
  </si>
  <si>
    <t>Present Value Costs for all interventions proposed in LUF bid</t>
  </si>
  <si>
    <t>Sensitivity test of central case appraisal + long-term highway asset management savings associated with targeted investment in highways</t>
  </si>
  <si>
    <t>Low scenario</t>
  </si>
  <si>
    <t>Sensitivity test of lower value AMAT scores, plus exclusion of long-term highway asset management savings associated with targeted investment in highways</t>
  </si>
  <si>
    <t>Highway Asset Maintenance Savings</t>
  </si>
  <si>
    <t>Current budgeted investment in highway maintenance in Nottingham:</t>
  </si>
  <si>
    <t>at 2021 prices</t>
  </si>
  <si>
    <t>Proposed LUF investment in highway asset maintenance in Nottingham's highway, footway and cycle routes - including some extension to the network:</t>
  </si>
  <si>
    <t>Assumed % of this investment that will combine routine maintenance with extension of the network:</t>
  </si>
  <si>
    <t>XAIS Asset Management - Nottingham City Condition Projection Model</t>
  </si>
  <si>
    <t>over 3 years, inc. risk allowances</t>
  </si>
  <si>
    <t>LUF Financial Case, 2022 prices</t>
  </si>
  <si>
    <t>Assumed level of network renewal compared to extension/improvement</t>
  </si>
  <si>
    <t>XAIS highway asset condition management model forecasts the following total maintenance need in 2030 based on this base level of continued investment</t>
  </si>
  <si>
    <t>XAIS highway asset condition management model forecasts the following total maintenance need in 2030 based on this level of increased investment</t>
  </si>
  <si>
    <t>Gross saving in 2030 future maintenance need, based on 100% maintenance investment</t>
  </si>
  <si>
    <t>Forecast value of future maintenance need, based on 50% maintenance investment, at 2030</t>
  </si>
  <si>
    <t>Discounted value of future maintenance need investment saving achieved through LUF interventions</t>
  </si>
  <si>
    <t>GDP deflated value of future maintenance need investment saving achieved through LUF interventions</t>
  </si>
  <si>
    <t>at 2010 prices</t>
  </si>
  <si>
    <t>Analysis of Monetised Costs and Benefits - High scenario</t>
  </si>
  <si>
    <t>Analysis of Monetised Costs and Benefits - Core scenario</t>
  </si>
  <si>
    <t>Analysis of Monetised Costs and Benefits - Low scenario</t>
  </si>
  <si>
    <t>Financial value of infrastructure maintenance savings associated with a low-level of mode shift to walking and cycling from motorised vehicle trips, plus forecast savings to the long-term highway maintenance need value based on XAIS condition management modelling.</t>
  </si>
  <si>
    <t>Included in Low Scenario</t>
  </si>
  <si>
    <t>Included in Core + High Scenario</t>
  </si>
  <si>
    <t>Included in Core, Low and High scenarios</t>
  </si>
  <si>
    <t>Included in Core Scenario</t>
  </si>
  <si>
    <t>Estimated change in daily car trips - to walking</t>
  </si>
  <si>
    <t>Estimated change in daily car trip lengths (Km) - to walking</t>
  </si>
  <si>
    <t xml:space="preserve"> Assumption based on an average 12% - 13% uplift in cycling levels along strategic cycle corridors in Nottingham that have received major investment</t>
  </si>
  <si>
    <t xml:space="preserve"> -5,855,301 kWhr saving of energy consumption per annum for street lighting
 - Equates to -£6,648,056 financial saving over 12 year asset life assumed in TAG guidance</t>
  </si>
  <si>
    <t>2021/22</t>
  </si>
  <si>
    <t>2022/23</t>
  </si>
  <si>
    <t>2023/24</t>
  </si>
  <si>
    <t>Programme component</t>
  </si>
  <si>
    <t>DfT Capital</t>
  </si>
  <si>
    <t>LA match</t>
  </si>
  <si>
    <t>Greener Streets</t>
  </si>
  <si>
    <t>EV charging points</t>
  </si>
  <si>
    <t>LED streetlights</t>
  </si>
  <si>
    <t>School Streets</t>
  </si>
  <si>
    <t>Streets for People</t>
  </si>
  <si>
    <t>2024 – 2030 financial years</t>
  </si>
  <si>
    <t>C category road</t>
  </si>
  <si>
    <t>U category road</t>
  </si>
  <si>
    <t>Proposed spending profile for Streets for People + School Streets maintenance asset condition/value monitoring</t>
  </si>
  <si>
    <t>High Scenario</t>
  </si>
  <si>
    <t>Core Scenario</t>
  </si>
  <si>
    <t>Forecast value of future maintenance need, based on 100% maintenance investment, at 2030</t>
  </si>
  <si>
    <t>Low Scenario</t>
  </si>
  <si>
    <t>Included in High Scenario</t>
  </si>
  <si>
    <t xml:space="preserve"> -1,311 car trips/day as a result of the Streets for People and School Streets interventions.</t>
  </si>
  <si>
    <t xml:space="preserve"> -1,311 car trips/day as a result of the Streets for People and School Streets interventions.
 -617,998 Internal Combustion Engine fuelled trips/annum, resulting from the accelerated uptake of PHEVs and BEVs arising from the installation of additional EV charging points in residential areas.</t>
  </si>
  <si>
    <t xml:space="preserve"> +892 additional cycling trips per day, resulting from improved infrastructure.
  +5,243 additional walking trips per day, resulting from improved infrastructure.
</t>
  </si>
  <si>
    <t xml:space="preserve"> 12,341 cycling trips per day expected to experience improved journey quality.
 91,513 walking trips forecast to experience improved journey quality.</t>
  </si>
  <si>
    <t>Quantified (monetarily) in Active Mode Appraisal toolkit, but a function of -1,311 car trips/day as a result of the Streets for People and School Streets interventions.</t>
  </si>
  <si>
    <t xml:space="preserve"> -1,311 car trips/day as a result of the Streets for People and School Streets interventions.
 - £6.09m in highway asset maintenance need savings in 2030</t>
  </si>
  <si>
    <t>AMAT Sensitivity Test A: 4% uplift in walking and cycling and 4% of trips use the improvements</t>
  </si>
  <si>
    <t>Reduced absenteeism as a function of improved public health among adult population</t>
  </si>
  <si>
    <t>Decongestion benefits reported in relation to Social category, but may also accrue to business users and providers</t>
  </si>
  <si>
    <t xml:space="preserve">Congestion benefits arise from a forecast 3% point reduction in car trips to school (focused on target populations of 20 x School Streets interventions) and a forecast 4% uplift of walking and cycling activities resulting from footway and cycleway improvements (Streets for People interventions) of which 11% are assumed to divert from car trips and 8% from taxi trips. </t>
  </si>
  <si>
    <t xml:space="preserve">Congestion benefits arise from a forecast 3% point reduction in car trips to school (focused on target populations of 20 x School Streets interventions) and a forecast 3% uplift of walking and cycling activities resulting from footway and cycleway improvements (Streets for People interventions) of which 11% are assumed to divert from car trips and 8% from taxi trips. </t>
  </si>
  <si>
    <t xml:space="preserve">Congestion benefits arise from a forecast 1.5% point reduction in car trips to school (focused on target populations of 20 x School Streets interventions) and a forecast 2% uplift of walking and cycling activities resulting from footway and cycleway improvements (Streets for People interventions) of which 11% are assumed to divert from car trips and 8% from taxi trips. </t>
  </si>
  <si>
    <t>AMAT Sensitivity Test B: 2% uplift in walking and cycling trip numbers + 2% of with scheme trips use improved network (each instead of 3%)</t>
  </si>
  <si>
    <t>AMAT Sensitivity Test A: Higher level of behavioural response to School Streets interventions (assumed 50% uplift in cycle trips + 3% point increase in walking trips)</t>
  </si>
  <si>
    <t>AMAT Sensitivity Test B: Lower level of behavioural response to School Streets interventions (assumed 25% uplift in cycle trips + 1.5% point increase in walking trips)</t>
  </si>
  <si>
    <t>Not quantified</t>
  </si>
  <si>
    <t>Changes to appearance and quality of local and residential streets as they become more usable for residents.</t>
  </si>
  <si>
    <t>Slight improvement in the quality, accessibility and appearance of streetscapes in target locations. EV charging points to be sensitively located to avoid disbenefits</t>
  </si>
  <si>
    <t>Checksum with AMCB</t>
  </si>
  <si>
    <t>NPB (£)</t>
  </si>
  <si>
    <t xml:space="preserve"> -1,871 car trips/day as a result of the Streets for People and School Streets interventions.</t>
  </si>
  <si>
    <t xml:space="preserve"> -1,871 car trips/day as a result of the Streets for People and School Streets interventions.
 -617,998 Internal Combustion Engine fuelled trips/annum, resulting from the accelerated uptake of PHEVs and BEVs arising from the installation of additional EV charging points in residential areas.</t>
  </si>
  <si>
    <t xml:space="preserve"> +1,233 additional cycling trips per day, resulting from improved infrastructure.
  +7,070 additional walking trips per day, resulting from improved infrastructure.
</t>
  </si>
  <si>
    <t xml:space="preserve"> 12,520 cycling trips per day expected to experience improved journey quality.
 92,475 walking trips forecast to experience improved journey quality.</t>
  </si>
  <si>
    <t>Quantified (monetarily) in Active Mode Appraisal toolkit, but a function of -1,871 car trips/day as a result of the Streets for People and School Streets interventions.</t>
  </si>
  <si>
    <t xml:space="preserve"> -1,871 car trips/day as a result of the Streets for People and School Streets interventions.
- £8.12m in highway asset maintenance need savings in 2030</t>
  </si>
  <si>
    <t xml:space="preserve"> -1,871 car trips/day as a result of the Streets for People and School Streets interventions result in reduced tax revenues from fuel</t>
  </si>
  <si>
    <t xml:space="preserve"> -935 car trips/day as a result of the Streets for People and School Streets interventions.</t>
  </si>
  <si>
    <t xml:space="preserve"> -935 car trips/day as a result of the Streets for People and School Streets interventions.
 -617,998  Internal Combustion Engine fuelled trips/annum, resulting from the accelerated uptake of PHEVs and BEVs arising from the installation of additional EV charging points in residential areas.</t>
  </si>
  <si>
    <t xml:space="preserve"> +616 additional cycling trips per day, resulting from improved infrastructure.
  +3,536 additional walking trips per day, resulting from improved infrastructure.
</t>
  </si>
  <si>
    <t>12,196 cycling trips per day expected to experience improved journey quality.
 90,614 walking trips forecast to experience improved journey quality.</t>
  </si>
  <si>
    <t>Quantified (monetarily) in Active Mode Appraisal toolkit, but a function of -935 car trips/day as a result of the Streets for People and School Streets interventions.</t>
  </si>
  <si>
    <t xml:space="preserve"> -935 car trips/day as a result of the Streets for People and School Streets interventions.
 - £4.06m in highway asset maintenance savings</t>
  </si>
  <si>
    <t>% split derived from DfT Data Table VEH 0132</t>
  </si>
  <si>
    <t>Base costs</t>
  </si>
  <si>
    <t>Risk assessment</t>
  </si>
  <si>
    <t>Risk allowance %</t>
  </si>
  <si>
    <t>Availablity of electricity supply / substations</t>
  </si>
  <si>
    <t>Risk value</t>
  </si>
  <si>
    <t>Risk adjusted cost totals</t>
  </si>
  <si>
    <t>Details</t>
  </si>
  <si>
    <t>Total base costs</t>
  </si>
  <si>
    <t>105 EV charging points comprising a mix of 7kw 'Fast' and 50kW 'Rapid' charging points</t>
  </si>
  <si>
    <t>Conversion of 34,063 streetlights to lower energy LED lanterns</t>
  </si>
  <si>
    <t>20 School Streets interventions, upgrading 12 temporary schemes to permanent interventions and adding a further 8 permanent schemes</t>
  </si>
  <si>
    <t>Cooperation of schools, local support for new schemes, availability of contractors and materials</t>
  </si>
  <si>
    <t>Key risks identified</t>
  </si>
  <si>
    <t>Lighting column repair works (uncosted) also required</t>
  </si>
  <si>
    <t>Wide range of footway, cycleway, street crossing, drop-kerb, highway surface and wayfinding/seating improvements and repairs on residential 'connector' routes to strategic walking and cycling corridors being delivered through Transforming Cities and Active Travel Fund.</t>
  </si>
  <si>
    <t>Surface quality issues need wider maintenance, presence of unknown statutory services requiring diversion, availability of contractors, public support for works involved</t>
  </si>
  <si>
    <t>Risk-adjusted costs including Optimism Bias (for Economic Case)</t>
  </si>
  <si>
    <t>Risk-adjusted spend profile (for Financial Case)</t>
  </si>
  <si>
    <t xml:space="preserve">Available LA match funding contribution </t>
  </si>
  <si>
    <t>OB Scheme Type</t>
  </si>
  <si>
    <t>OB Stage</t>
  </si>
  <si>
    <t>Roads</t>
  </si>
  <si>
    <t>OB uplift</t>
  </si>
  <si>
    <t>Optimism Bias</t>
  </si>
  <si>
    <t>Scheme details and base costs</t>
  </si>
  <si>
    <t>Risk-adjusted costs including Optimism Bias (for Economic Case) - deflated to 2010 prices for econmic appraisal</t>
  </si>
  <si>
    <t>Total (inc OB)</t>
  </si>
  <si>
    <t>PV Benefits</t>
  </si>
  <si>
    <t>PVB of air quality and GHG emission impacts from EV chargepoints</t>
  </si>
  <si>
    <t>PVC of scheme delivery</t>
  </si>
  <si>
    <t>PVB of GHG emissions</t>
  </si>
  <si>
    <t>PVB of Local Air Quality</t>
  </si>
  <si>
    <t>PVB of financial saving to NCC</t>
  </si>
  <si>
    <t>PVB of GHG emission savings</t>
  </si>
  <si>
    <t>PV Benefits @ 2010 prices</t>
  </si>
  <si>
    <t>PV Costs @ 2010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</si>
</sst>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3" formatCode="_-* #,##0.00_-;\-* #,##0.00_-;_-* &quot;-&quot;??_-;_-@_-"/>
    <numFmt numFmtId="164" formatCode="0.0"/>
    <numFmt numFmtId="165" formatCode="_-* #,##0_-;\-* #,##0_-;_-* &quot;-&quot;??_-;_-@_-"/>
    <numFmt numFmtId="166" formatCode="&quot;£&quot;#,##0"/>
    <numFmt numFmtId="167" formatCode="0.00000"/>
    <numFmt numFmtId="168" formatCode="&quot;£&quot;#,##0.00"/>
    <numFmt numFmtId="169" formatCode="0.0%"/>
    <numFmt numFmtId="170" formatCode="#,##0.00000"/>
    <numFmt numFmtId="171" formatCode="&quot;£&quot;#,##0.000"/>
  </numFmts>
  <fonts count="65">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0"/>
      <name val="Arial"/>
      <family val="2"/>
    </font>
    <font>
      <b/>
      <sz val="10"/>
      <name val="Arial"/>
      <family val="2"/>
    </font>
    <font>
      <sz val="12"/>
      <name val="Arial"/>
      <family val="2"/>
    </font>
    <font>
      <b/>
      <sz val="20"/>
      <color theme="0"/>
      <name val="Calibri"/>
      <family val="2"/>
      <scheme val="minor"/>
    </font>
    <font>
      <sz val="12"/>
      <color indexed="10"/>
      <name val="Arial"/>
      <family val="2"/>
    </font>
    <font>
      <sz val="14"/>
      <name val="Arial"/>
      <family val="2"/>
    </font>
    <font>
      <b/>
      <sz val="11"/>
      <name val="Arial"/>
      <family val="2"/>
    </font>
    <font>
      <b/>
      <u/>
      <sz val="11"/>
      <name val="Arial"/>
      <family val="2"/>
    </font>
    <font>
      <u/>
      <sz val="12"/>
      <name val="Arial"/>
      <family val="2"/>
    </font>
    <font>
      <sz val="11"/>
      <name val="Arial"/>
      <family val="2"/>
    </font>
    <font>
      <sz val="14"/>
      <color indexed="9"/>
      <name val="Arial"/>
      <family val="2"/>
    </font>
    <font>
      <u/>
      <sz val="10"/>
      <name val="Arial"/>
      <family val="2"/>
    </font>
    <font>
      <sz val="7"/>
      <name val="Arial"/>
      <family val="2"/>
    </font>
    <font>
      <b/>
      <sz val="7"/>
      <name val="Arial"/>
      <family val="2"/>
    </font>
    <font>
      <b/>
      <sz val="12"/>
      <name val="Arial"/>
      <family val="2"/>
    </font>
    <font>
      <u/>
      <sz val="11"/>
      <name val="Arial"/>
      <family val="2"/>
    </font>
    <font>
      <sz val="11"/>
      <color theme="1"/>
      <name val="Arial"/>
      <family val="2"/>
    </font>
    <font>
      <sz val="12"/>
      <color theme="1"/>
      <name val="Arial"/>
      <family val="2"/>
    </font>
    <font>
      <b/>
      <sz val="11"/>
      <color theme="0"/>
      <name val="Calibri"/>
      <family val="2"/>
      <scheme val="minor"/>
    </font>
    <font>
      <sz val="11"/>
      <color theme="0"/>
      <name val="Calibri"/>
      <family val="2"/>
      <scheme val="minor"/>
    </font>
    <font>
      <u/>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9"/>
      <name val="Arial"/>
      <family val="2"/>
    </font>
    <font>
      <b/>
      <sz val="9"/>
      <color indexed="9"/>
      <name val="Arial"/>
      <family val="2"/>
    </font>
    <font>
      <b/>
      <sz val="10"/>
      <color indexed="9"/>
      <name val="Arial"/>
      <family val="2"/>
    </font>
    <font>
      <sz val="9"/>
      <color indexed="9"/>
      <name val="Arial"/>
      <family val="2"/>
    </font>
    <font>
      <sz val="8"/>
      <color indexed="10"/>
      <name val="Arial"/>
      <family val="2"/>
    </font>
    <font>
      <sz val="8"/>
      <color indexed="9"/>
      <name val="Arial"/>
      <family val="2"/>
    </font>
    <font>
      <sz val="10"/>
      <color indexed="10"/>
      <name val="Arial"/>
      <family val="2"/>
    </font>
    <font>
      <i/>
      <sz val="9"/>
      <name val="Arial"/>
      <family val="2"/>
    </font>
    <font>
      <i/>
      <sz val="8"/>
      <name val="Arial"/>
      <family val="2"/>
    </font>
    <font>
      <i/>
      <sz val="8.5"/>
      <name val="Arial"/>
      <family val="2"/>
    </font>
    <font>
      <sz val="8.5"/>
      <name val="Arial"/>
      <family val="2"/>
    </font>
    <font>
      <b/>
      <sz val="8.5"/>
      <name val="Arial"/>
      <family val="2"/>
    </font>
    <font>
      <b/>
      <sz val="11"/>
      <name val="Calibri"/>
      <family val="2"/>
      <scheme val="minor"/>
    </font>
    <font>
      <b/>
      <sz val="11"/>
      <color theme="1"/>
      <name val="Segoe UI Semilight"/>
      <family val="2"/>
    </font>
    <font>
      <b/>
      <sz val="11"/>
      <color rgb="FF000000"/>
      <name val="Segoe UI Semilight"/>
      <family val="2"/>
    </font>
    <font>
      <sz val="11"/>
      <color theme="1"/>
      <name val="Segoe UI Semilight"/>
      <family val="2"/>
    </font>
    <font>
      <sz val="11"/>
      <color rgb="FFFF0000"/>
      <name val="Calibri"/>
      <family val="2"/>
      <scheme val="minor"/>
    </font>
    <font>
      <sz val="8"/>
      <name val="Calibri"/>
      <family val="2"/>
      <scheme val="minor"/>
    </font>
    <font>
      <i/>
      <sz val="11"/>
      <color theme="1"/>
      <name val="Calibri"/>
      <family val="2"/>
      <scheme val="minor"/>
    </font>
  </fonts>
  <fills count="48">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indexed="9"/>
        <bgColor indexed="64"/>
      </patternFill>
    </fill>
    <fill>
      <patternFill patternType="solid">
        <fgColor theme="9" tint="0.39997558519241921"/>
        <bgColor indexed="64"/>
      </patternFill>
    </fill>
    <fill>
      <patternFill patternType="solid">
        <fgColor rgb="FF006E5A"/>
        <bgColor indexed="64"/>
      </patternFill>
    </fill>
    <fill>
      <patternFill patternType="solid">
        <fgColor theme="0"/>
        <bgColor indexed="64"/>
      </patternFill>
    </fill>
    <fill>
      <patternFill patternType="solid">
        <fgColor theme="7" tint="0.59999389629810485"/>
        <bgColor indexed="64"/>
      </patternFill>
    </fill>
    <fill>
      <patternFill patternType="solid">
        <fgColor theme="2" tint="-0.74999237037263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1"/>
        <bgColor indexed="64"/>
      </patternFill>
    </fill>
    <fill>
      <patternFill patternType="solid">
        <fgColor indexed="63"/>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indexed="42"/>
        <bgColor indexed="64"/>
      </patternFill>
    </fill>
    <fill>
      <patternFill patternType="solid">
        <fgColor theme="1"/>
        <bgColor indexed="64"/>
      </patternFill>
    </fill>
    <fill>
      <patternFill patternType="solid">
        <fgColor theme="0" tint="-0.249977111117893"/>
        <bgColor indexed="64"/>
      </patternFill>
    </fill>
    <fill>
      <patternFill patternType="solid">
        <fgColor rgb="FFD9D9D9"/>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bgColor indexed="64"/>
      </patternFill>
    </fill>
  </fills>
  <borders count="106">
    <border>
      <left/>
      <right/>
      <top/>
      <bottom/>
      <diagonal/>
    </border>
    <border>
      <left/>
      <right style="double">
        <color indexed="64"/>
      </right>
      <top/>
      <bottom/>
      <diagonal/>
    </border>
    <border>
      <left style="double">
        <color indexed="64"/>
      </left>
      <right style="double">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double">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4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4" fillId="0" borderId="0" applyNumberFormat="0" applyFill="0" applyBorder="0" applyAlignment="0" applyProtection="0"/>
    <xf numFmtId="0" fontId="9" fillId="10" borderId="0"/>
    <xf numFmtId="0" fontId="6" fillId="0" borderId="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31" borderId="0" applyNumberFormat="0" applyBorder="0" applyAlignment="0" applyProtection="0"/>
    <xf numFmtId="0" fontId="29" fillId="15" borderId="0" applyNumberFormat="0" applyBorder="0" applyAlignment="0" applyProtection="0"/>
    <xf numFmtId="0" fontId="30" fillId="32" borderId="14" applyNumberFormat="0" applyAlignment="0" applyProtection="0"/>
    <xf numFmtId="0" fontId="31" fillId="33" borderId="15" applyNumberFormat="0" applyAlignment="0" applyProtection="0"/>
    <xf numFmtId="0" fontId="32" fillId="0" borderId="0" applyNumberFormat="0" applyFill="0" applyBorder="0" applyAlignment="0" applyProtection="0"/>
    <xf numFmtId="0" fontId="33" fillId="16" borderId="0" applyNumberFormat="0" applyBorder="0" applyAlignment="0" applyProtection="0"/>
    <xf numFmtId="0" fontId="34" fillId="0" borderId="16" applyNumberFormat="0" applyFill="0" applyAlignment="0" applyProtection="0"/>
    <xf numFmtId="0" fontId="35" fillId="0" borderId="17" applyNumberFormat="0" applyFill="0" applyAlignment="0" applyProtection="0"/>
    <xf numFmtId="0" fontId="36" fillId="0" borderId="18" applyNumberFormat="0" applyFill="0" applyAlignment="0" applyProtection="0"/>
    <xf numFmtId="0" fontId="36" fillId="0" borderId="0" applyNumberFormat="0" applyFill="0" applyBorder="0" applyAlignment="0" applyProtection="0"/>
    <xf numFmtId="0" fontId="37" fillId="19" borderId="14" applyNumberFormat="0" applyAlignment="0" applyProtection="0"/>
    <xf numFmtId="0" fontId="38" fillId="0" borderId="19" applyNumberFormat="0" applyFill="0" applyAlignment="0" applyProtection="0"/>
    <xf numFmtId="0" fontId="39" fillId="34" borderId="0" applyNumberFormat="0" applyBorder="0" applyAlignment="0" applyProtection="0"/>
    <xf numFmtId="0" fontId="6" fillId="35" borderId="20" applyNumberFormat="0" applyFont="0" applyAlignment="0" applyProtection="0"/>
    <xf numFmtId="0" fontId="40" fillId="32" borderId="21" applyNumberForma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0" borderId="0" applyNumberFormat="0" applyFill="0" applyBorder="0" applyAlignment="0" applyProtection="0"/>
  </cellStyleXfs>
  <cellXfs count="566">
    <xf numFmtId="0" fontId="0" fillId="0" borderId="0" xfId="0"/>
    <xf numFmtId="0" fontId="3" fillId="0" borderId="0" xfId="0" applyFont="1"/>
    <xf numFmtId="0" fontId="3" fillId="3" borderId="0" xfId="0" applyFont="1" applyFill="1" applyAlignment="1">
      <alignment vertical="center" wrapText="1"/>
    </xf>
    <xf numFmtId="0" fontId="3" fillId="3" borderId="0" xfId="0" applyFont="1" applyFill="1" applyAlignment="1">
      <alignment horizontal="center" vertical="center" wrapText="1"/>
    </xf>
    <xf numFmtId="164" fontId="0" fillId="0" borderId="0" xfId="0" applyNumberFormat="1"/>
    <xf numFmtId="9" fontId="0" fillId="0" borderId="0" xfId="0" applyNumberFormat="1"/>
    <xf numFmtId="10" fontId="0" fillId="0" borderId="0" xfId="0" applyNumberFormat="1"/>
    <xf numFmtId="0" fontId="3" fillId="4" borderId="0" xfId="0" applyFont="1" applyFill="1" applyAlignment="1">
      <alignment horizontal="center" vertical="center" wrapText="1"/>
    </xf>
    <xf numFmtId="0" fontId="3" fillId="5" borderId="0" xfId="0" applyFont="1" applyFill="1" applyAlignment="1">
      <alignment horizontal="center" vertical="center" wrapText="1"/>
    </xf>
    <xf numFmtId="165" fontId="0" fillId="0" borderId="0" xfId="1" applyNumberFormat="1" applyFont="1"/>
    <xf numFmtId="1" fontId="0" fillId="0" borderId="0" xfId="0" applyNumberFormat="1"/>
    <xf numFmtId="0" fontId="3" fillId="0" borderId="0" xfId="0" applyFont="1" applyAlignment="1">
      <alignment horizontal="right"/>
    </xf>
    <xf numFmtId="165" fontId="3" fillId="0" borderId="0" xfId="1" applyNumberFormat="1" applyFont="1"/>
    <xf numFmtId="1" fontId="3" fillId="0" borderId="0" xfId="0" applyNumberFormat="1" applyFont="1"/>
    <xf numFmtId="165" fontId="0" fillId="0" borderId="0" xfId="0" applyNumberFormat="1"/>
    <xf numFmtId="0" fontId="0" fillId="3" borderId="0" xfId="0" applyFill="1"/>
    <xf numFmtId="166" fontId="0" fillId="3" borderId="0" xfId="1" applyNumberFormat="1" applyFont="1" applyFill="1"/>
    <xf numFmtId="166" fontId="0" fillId="0" borderId="0" xfId="1" applyNumberFormat="1" applyFont="1"/>
    <xf numFmtId="166" fontId="0" fillId="0" borderId="0" xfId="0" applyNumberFormat="1"/>
    <xf numFmtId="166" fontId="3" fillId="6" borderId="0" xfId="0" applyNumberFormat="1" applyFont="1" applyFill="1"/>
    <xf numFmtId="0" fontId="3" fillId="6" borderId="0" xfId="0" applyFont="1" applyFill="1"/>
    <xf numFmtId="0" fontId="0" fillId="6" borderId="0" xfId="0" applyFill="1"/>
    <xf numFmtId="0" fontId="0" fillId="0" borderId="0" xfId="0" applyAlignment="1">
      <alignment horizontal="right"/>
    </xf>
    <xf numFmtId="166" fontId="2" fillId="2" borderId="0" xfId="3" applyNumberFormat="1" applyAlignment="1">
      <alignment wrapText="1"/>
    </xf>
    <xf numFmtId="0" fontId="3" fillId="3" borderId="0" xfId="0" applyFont="1" applyFill="1"/>
    <xf numFmtId="0" fontId="4" fillId="0" borderId="0" xfId="4"/>
    <xf numFmtId="165" fontId="0" fillId="0" borderId="0" xfId="0" applyNumberFormat="1" applyAlignment="1">
      <alignment horizontal="right"/>
    </xf>
    <xf numFmtId="2" fontId="0" fillId="0" borderId="0" xfId="0" applyNumberFormat="1"/>
    <xf numFmtId="167" fontId="0" fillId="0" borderId="0" xfId="0" applyNumberFormat="1"/>
    <xf numFmtId="0" fontId="0" fillId="0" borderId="0" xfId="0" applyAlignment="1">
      <alignment wrapText="1"/>
    </xf>
    <xf numFmtId="0" fontId="5" fillId="0" borderId="0" xfId="0" applyFont="1"/>
    <xf numFmtId="9" fontId="5" fillId="7" borderId="0" xfId="2" applyFont="1" applyFill="1"/>
    <xf numFmtId="10" fontId="5" fillId="7" borderId="0" xfId="0" applyNumberFormat="1" applyFont="1" applyFill="1"/>
    <xf numFmtId="0" fontId="5" fillId="0" borderId="0" xfId="0" applyFont="1" applyAlignment="1">
      <alignment horizontal="right"/>
    </xf>
    <xf numFmtId="0" fontId="7" fillId="0" borderId="0" xfId="0" applyFont="1" applyAlignment="1" applyProtection="1">
      <alignment horizontal="center" vertical="center"/>
      <protection hidden="1"/>
    </xf>
    <xf numFmtId="0" fontId="6" fillId="0" borderId="1" xfId="0" applyFont="1" applyBorder="1" applyAlignment="1" applyProtection="1">
      <alignment vertical="center"/>
      <protection hidden="1"/>
    </xf>
    <xf numFmtId="0" fontId="7" fillId="0" borderId="1" xfId="0" applyFont="1" applyBorder="1" applyAlignment="1" applyProtection="1">
      <alignment horizontal="center" vertical="center" wrapText="1"/>
      <protection hidden="1"/>
    </xf>
    <xf numFmtId="0" fontId="6" fillId="8" borderId="0" xfId="0" applyFont="1" applyFill="1" applyAlignment="1" applyProtection="1">
      <alignment horizontal="center" vertical="center"/>
      <protection hidden="1"/>
    </xf>
    <xf numFmtId="2" fontId="6" fillId="8" borderId="2" xfId="0" applyNumberFormat="1" applyFont="1" applyFill="1" applyBorder="1" applyAlignment="1" applyProtection="1">
      <alignment horizontal="center" vertical="center"/>
      <protection hidden="1"/>
    </xf>
    <xf numFmtId="0" fontId="6" fillId="8" borderId="1" xfId="0" applyFont="1" applyFill="1" applyBorder="1" applyAlignment="1" applyProtection="1">
      <alignment vertical="center"/>
      <protection hidden="1"/>
    </xf>
    <xf numFmtId="0" fontId="0" fillId="3" borderId="0" xfId="0" applyFill="1" applyAlignment="1">
      <alignment horizontal="right"/>
    </xf>
    <xf numFmtId="0" fontId="3" fillId="9" borderId="0" xfId="0" applyFont="1" applyFill="1"/>
    <xf numFmtId="0" fontId="0" fillId="9" borderId="0" xfId="0" applyFill="1"/>
    <xf numFmtId="164" fontId="0" fillId="9" borderId="0" xfId="0" applyNumberFormat="1" applyFill="1"/>
    <xf numFmtId="165" fontId="0" fillId="9" borderId="0" xfId="0" applyNumberFormat="1" applyFill="1"/>
    <xf numFmtId="0" fontId="8" fillId="0" borderId="0" xfId="0" applyFont="1"/>
    <xf numFmtId="0" fontId="9" fillId="10" borderId="0" xfId="5"/>
    <xf numFmtId="0" fontId="10" fillId="0" borderId="0" xfId="0" applyFont="1"/>
    <xf numFmtId="0" fontId="11" fillId="0" borderId="0" xfId="0" applyFont="1"/>
    <xf numFmtId="0" fontId="12" fillId="0" borderId="0" xfId="0" applyFont="1"/>
    <xf numFmtId="0" fontId="13" fillId="0" borderId="3" xfId="0" applyFont="1" applyBorder="1"/>
    <xf numFmtId="0" fontId="8" fillId="0" borderId="3" xfId="0" applyFont="1" applyBorder="1" applyAlignment="1">
      <alignment horizontal="right"/>
    </xf>
    <xf numFmtId="0" fontId="13" fillId="0" borderId="0" xfId="0" applyFont="1"/>
    <xf numFmtId="0" fontId="14" fillId="0" borderId="0" xfId="0" applyFont="1"/>
    <xf numFmtId="0" fontId="8" fillId="0" borderId="4" xfId="0" applyFont="1" applyBorder="1" applyAlignment="1">
      <alignment horizontal="center"/>
    </xf>
    <xf numFmtId="0" fontId="8" fillId="0" borderId="0" xfId="0" applyFont="1" applyAlignment="1">
      <alignment horizontal="center"/>
    </xf>
    <xf numFmtId="0" fontId="15" fillId="0" borderId="0" xfId="0" applyFont="1"/>
    <xf numFmtId="0" fontId="16" fillId="0" borderId="0" xfId="0" applyFont="1"/>
    <xf numFmtId="0" fontId="8" fillId="8" borderId="5" xfId="0" applyFont="1" applyFill="1" applyBorder="1"/>
    <xf numFmtId="0" fontId="13" fillId="8" borderId="0" xfId="0" applyFont="1" applyFill="1"/>
    <xf numFmtId="0" fontId="17" fillId="8" borderId="0" xfId="0" applyFont="1" applyFill="1"/>
    <xf numFmtId="168" fontId="8" fillId="8" borderId="0" xfId="0" applyNumberFormat="1" applyFont="1" applyFill="1"/>
    <xf numFmtId="0" fontId="12" fillId="8" borderId="0" xfId="0" applyFont="1" applyFill="1"/>
    <xf numFmtId="0" fontId="15" fillId="8" borderId="0" xfId="0" applyFont="1" applyFill="1" applyAlignment="1">
      <alignment wrapText="1"/>
    </xf>
    <xf numFmtId="0" fontId="15" fillId="8" borderId="0" xfId="0" applyFont="1" applyFill="1"/>
    <xf numFmtId="0" fontId="8" fillId="8" borderId="0" xfId="0" applyFont="1" applyFill="1" applyAlignment="1">
      <alignment horizontal="right"/>
    </xf>
    <xf numFmtId="166" fontId="8" fillId="0" borderId="4" xfId="0" applyNumberFormat="1" applyFont="1" applyBorder="1" applyAlignment="1">
      <alignment horizontal="center"/>
    </xf>
    <xf numFmtId="2" fontId="18" fillId="8" borderId="0" xfId="0" applyNumberFormat="1" applyFont="1" applyFill="1" applyAlignment="1">
      <alignment horizontal="left" wrapText="1"/>
    </xf>
    <xf numFmtId="0" fontId="15" fillId="8" borderId="6" xfId="0" applyFont="1" applyFill="1" applyBorder="1"/>
    <xf numFmtId="0" fontId="8" fillId="8" borderId="6" xfId="0" applyFont="1" applyFill="1" applyBorder="1"/>
    <xf numFmtId="0" fontId="15" fillId="11" borderId="5" xfId="0" applyFont="1" applyFill="1" applyBorder="1"/>
    <xf numFmtId="0" fontId="8" fillId="11" borderId="5" xfId="0" applyFont="1" applyFill="1" applyBorder="1"/>
    <xf numFmtId="0" fontId="13" fillId="11" borderId="0" xfId="0" applyFont="1" applyFill="1"/>
    <xf numFmtId="0" fontId="17" fillId="11" borderId="0" xfId="0" applyFont="1" applyFill="1"/>
    <xf numFmtId="0" fontId="8" fillId="11" borderId="0" xfId="0" applyFont="1" applyFill="1"/>
    <xf numFmtId="0" fontId="12" fillId="11" borderId="0" xfId="0" applyFont="1" applyFill="1"/>
    <xf numFmtId="0" fontId="15" fillId="11" borderId="0" xfId="0" applyFont="1" applyFill="1"/>
    <xf numFmtId="0" fontId="0" fillId="11" borderId="0" xfId="0" applyFill="1"/>
    <xf numFmtId="0" fontId="8" fillId="11" borderId="0" xfId="0" applyFont="1" applyFill="1" applyAlignment="1">
      <alignment horizontal="right"/>
    </xf>
    <xf numFmtId="3" fontId="8" fillId="11" borderId="4" xfId="0" applyNumberFormat="1" applyFont="1" applyFill="1" applyBorder="1" applyAlignment="1">
      <alignment horizontal="center"/>
    </xf>
    <xf numFmtId="0" fontId="20" fillId="11" borderId="0" xfId="0" applyFont="1" applyFill="1"/>
    <xf numFmtId="0" fontId="8" fillId="11" borderId="4" xfId="0" applyFont="1" applyFill="1" applyBorder="1" applyAlignment="1">
      <alignment horizontal="center"/>
    </xf>
    <xf numFmtId="3" fontId="8" fillId="11" borderId="0" xfId="0" applyNumberFormat="1" applyFont="1" applyFill="1" applyAlignment="1">
      <alignment horizontal="center"/>
    </xf>
    <xf numFmtId="0" fontId="22" fillId="11" borderId="0" xfId="0" applyFont="1" applyFill="1"/>
    <xf numFmtId="0" fontId="23" fillId="11" borderId="4" xfId="0" applyFont="1" applyFill="1" applyBorder="1"/>
    <xf numFmtId="0" fontId="8" fillId="11" borderId="4" xfId="0" applyFont="1" applyFill="1" applyBorder="1"/>
    <xf numFmtId="0" fontId="15" fillId="11" borderId="6" xfId="0" applyFont="1" applyFill="1" applyBorder="1"/>
    <xf numFmtId="0" fontId="8" fillId="11" borderId="6" xfId="0" applyFont="1" applyFill="1" applyBorder="1"/>
    <xf numFmtId="0" fontId="15" fillId="8" borderId="5" xfId="0" applyFont="1" applyFill="1" applyBorder="1"/>
    <xf numFmtId="0" fontId="0" fillId="8" borderId="0" xfId="0" applyFill="1"/>
    <xf numFmtId="0" fontId="20" fillId="8" borderId="0" xfId="0" applyFont="1" applyFill="1"/>
    <xf numFmtId="0" fontId="8" fillId="8" borderId="0" xfId="0" applyFont="1" applyFill="1"/>
    <xf numFmtId="0" fontId="6" fillId="0" borderId="0" xfId="0" applyFont="1"/>
    <xf numFmtId="166" fontId="8" fillId="0" borderId="4" xfId="0" applyNumberFormat="1" applyFont="1" applyBorder="1"/>
    <xf numFmtId="166" fontId="8" fillId="8" borderId="0" xfId="0" applyNumberFormat="1" applyFont="1" applyFill="1"/>
    <xf numFmtId="0" fontId="0" fillId="4" borderId="0" xfId="0" applyFill="1"/>
    <xf numFmtId="0" fontId="0" fillId="0" borderId="0" xfId="0" applyFont="1"/>
    <xf numFmtId="0" fontId="5" fillId="3" borderId="0" xfId="0" applyFont="1" applyFill="1"/>
    <xf numFmtId="0" fontId="26" fillId="0" borderId="0" xfId="0" applyFont="1"/>
    <xf numFmtId="0" fontId="0" fillId="0" borderId="0" xfId="0" applyFill="1"/>
    <xf numFmtId="165" fontId="0" fillId="0" borderId="0" xfId="1" applyNumberFormat="1" applyFont="1" applyFill="1"/>
    <xf numFmtId="0" fontId="26" fillId="0" borderId="0" xfId="0" applyFont="1" applyFill="1"/>
    <xf numFmtId="9" fontId="0" fillId="3" borderId="0" xfId="0" applyNumberFormat="1" applyFill="1"/>
    <xf numFmtId="0" fontId="0" fillId="3" borderId="0" xfId="0" applyFill="1" applyAlignment="1">
      <alignment horizontal="center"/>
    </xf>
    <xf numFmtId="0" fontId="0" fillId="5" borderId="0" xfId="0" applyFill="1"/>
    <xf numFmtId="169" fontId="0" fillId="5" borderId="0" xfId="0" applyNumberFormat="1" applyFill="1"/>
    <xf numFmtId="165" fontId="0" fillId="5" borderId="0" xfId="0" applyNumberFormat="1" applyFill="1"/>
    <xf numFmtId="165" fontId="0" fillId="5" borderId="0" xfId="1" applyNumberFormat="1" applyFont="1" applyFill="1"/>
    <xf numFmtId="165" fontId="0" fillId="6" borderId="0" xfId="0" applyNumberFormat="1" applyFill="1"/>
    <xf numFmtId="165" fontId="0" fillId="6" borderId="0" xfId="1" applyNumberFormat="1" applyFont="1" applyFill="1"/>
    <xf numFmtId="0" fontId="0" fillId="3" borderId="0" xfId="0" applyFill="1" applyBorder="1"/>
    <xf numFmtId="9" fontId="0" fillId="3" borderId="0" xfId="0" applyNumberFormat="1" applyFill="1" applyAlignment="1">
      <alignment horizontal="center"/>
    </xf>
    <xf numFmtId="165" fontId="0" fillId="4" borderId="0" xfId="0" applyNumberFormat="1" applyFill="1"/>
    <xf numFmtId="165" fontId="0" fillId="12" borderId="0" xfId="0" applyNumberFormat="1" applyFill="1"/>
    <xf numFmtId="165" fontId="0" fillId="12" borderId="0" xfId="1" applyNumberFormat="1" applyFont="1" applyFill="1"/>
    <xf numFmtId="169" fontId="0" fillId="12" borderId="0" xfId="0" applyNumberFormat="1" applyFill="1"/>
    <xf numFmtId="0" fontId="0" fillId="12" borderId="0" xfId="0" applyFill="1"/>
    <xf numFmtId="0" fontId="0" fillId="5" borderId="0" xfId="0" applyFill="1" applyAlignment="1">
      <alignment horizontal="left"/>
    </xf>
    <xf numFmtId="0" fontId="0" fillId="3" borderId="0" xfId="0" applyFill="1" applyAlignment="1">
      <alignment horizontal="left"/>
    </xf>
    <xf numFmtId="0" fontId="24" fillId="13" borderId="0" xfId="0" applyFont="1" applyFill="1"/>
    <xf numFmtId="0" fontId="25" fillId="13" borderId="0" xfId="0" applyFont="1" applyFill="1"/>
    <xf numFmtId="0" fontId="0" fillId="3" borderId="0" xfId="0" applyFont="1" applyFill="1"/>
    <xf numFmtId="0" fontId="26" fillId="0" borderId="7" xfId="0" applyFont="1" applyBorder="1"/>
    <xf numFmtId="0" fontId="0" fillId="0" borderId="8" xfId="0" applyBorder="1"/>
    <xf numFmtId="0" fontId="0" fillId="0" borderId="9" xfId="0" applyBorder="1"/>
    <xf numFmtId="0" fontId="0" fillId="0" borderId="10" xfId="0" applyBorder="1"/>
    <xf numFmtId="0" fontId="0" fillId="0" borderId="0" xfId="0" applyBorder="1" applyAlignment="1">
      <alignment horizontal="center"/>
    </xf>
    <xf numFmtId="0" fontId="0" fillId="0" borderId="0" xfId="0" applyBorder="1"/>
    <xf numFmtId="0" fontId="0" fillId="0" borderId="11" xfId="0" applyBorder="1"/>
    <xf numFmtId="168" fontId="0" fillId="0" borderId="0" xfId="1" applyNumberFormat="1" applyFont="1" applyBorder="1"/>
    <xf numFmtId="2" fontId="0" fillId="0" borderId="0" xfId="0" applyNumberFormat="1" applyBorder="1"/>
    <xf numFmtId="0" fontId="0" fillId="0" borderId="12" xfId="0" applyBorder="1"/>
    <xf numFmtId="0" fontId="0" fillId="0" borderId="3" xfId="0" applyBorder="1"/>
    <xf numFmtId="0" fontId="0" fillId="0" borderId="13" xfId="0" applyBorder="1"/>
    <xf numFmtId="168" fontId="0" fillId="0" borderId="0" xfId="0" applyNumberFormat="1" applyBorder="1"/>
    <xf numFmtId="0" fontId="0" fillId="0" borderId="0" xfId="0" applyFill="1" applyBorder="1" applyAlignment="1">
      <alignment horizontal="center"/>
    </xf>
    <xf numFmtId="169" fontId="0" fillId="0" borderId="0" xfId="2" applyNumberFormat="1" applyFont="1" applyBorder="1"/>
    <xf numFmtId="0" fontId="4" fillId="4" borderId="0" xfId="4" applyFill="1"/>
    <xf numFmtId="9" fontId="0" fillId="12" borderId="0" xfId="2" applyFont="1" applyFill="1"/>
    <xf numFmtId="9" fontId="0" fillId="12" borderId="0" xfId="1" applyNumberFormat="1" applyFont="1" applyFill="1"/>
    <xf numFmtId="2" fontId="0" fillId="0" borderId="0" xfId="1" applyNumberFormat="1" applyFont="1" applyFill="1"/>
    <xf numFmtId="0" fontId="3" fillId="3" borderId="0" xfId="0" applyFont="1" applyFill="1" applyAlignment="1">
      <alignment horizontal="center" vertical="center" wrapText="1"/>
    </xf>
    <xf numFmtId="0" fontId="0" fillId="0" borderId="0" xfId="0" applyFont="1" applyFill="1"/>
    <xf numFmtId="0" fontId="45" fillId="0" borderId="0" xfId="6" applyFont="1" applyFill="1" applyBorder="1" applyAlignment="1">
      <alignment vertical="top"/>
    </xf>
    <xf numFmtId="0" fontId="45" fillId="0" borderId="0" xfId="6" applyFont="1" applyFill="1" applyBorder="1" applyAlignment="1">
      <alignment vertical="top" wrapText="1"/>
    </xf>
    <xf numFmtId="0" fontId="45" fillId="0" borderId="28" xfId="6" applyFont="1" applyFill="1" applyBorder="1" applyAlignment="1">
      <alignment horizontal="right" vertical="top" wrapText="1"/>
    </xf>
    <xf numFmtId="0" fontId="45" fillId="0" borderId="29" xfId="6" applyFont="1" applyFill="1" applyBorder="1" applyAlignment="1">
      <alignment horizontal="right" vertical="top" wrapText="1"/>
    </xf>
    <xf numFmtId="0" fontId="47" fillId="36" borderId="23" xfId="6" applyFont="1" applyFill="1" applyBorder="1" applyAlignment="1">
      <alignment horizontal="center" vertical="top" wrapText="1"/>
    </xf>
    <xf numFmtId="0" fontId="47" fillId="0" borderId="30" xfId="6" applyFont="1" applyFill="1" applyBorder="1" applyAlignment="1">
      <alignment vertical="top" wrapText="1"/>
    </xf>
    <xf numFmtId="0" fontId="45" fillId="0" borderId="0" xfId="6" applyFont="1" applyBorder="1" applyAlignment="1">
      <alignment vertical="top"/>
    </xf>
    <xf numFmtId="0" fontId="47" fillId="36" borderId="26" xfId="6" applyFont="1" applyFill="1" applyBorder="1" applyAlignment="1">
      <alignment horizontal="center" vertical="top" wrapText="1"/>
    </xf>
    <xf numFmtId="0" fontId="45" fillId="0" borderId="30" xfId="6" applyFont="1" applyBorder="1" applyAlignment="1">
      <alignment vertical="top"/>
    </xf>
    <xf numFmtId="0" fontId="47" fillId="36" borderId="31" xfId="6" applyFont="1" applyFill="1" applyBorder="1" applyAlignment="1">
      <alignment vertical="top" wrapText="1"/>
    </xf>
    <xf numFmtId="0" fontId="45" fillId="0" borderId="32" xfId="6" applyFont="1" applyBorder="1" applyAlignment="1">
      <alignment vertical="top" wrapText="1"/>
    </xf>
    <xf numFmtId="0" fontId="45" fillId="0" borderId="30" xfId="6" applyFont="1" applyBorder="1" applyAlignment="1">
      <alignment horizontal="right" vertical="top" wrapText="1"/>
    </xf>
    <xf numFmtId="0" fontId="47" fillId="36" borderId="31" xfId="6" applyFont="1" applyFill="1" applyBorder="1" applyAlignment="1">
      <alignment vertical="top"/>
    </xf>
    <xf numFmtId="0" fontId="45" fillId="0" borderId="32" xfId="6" applyFont="1" applyBorder="1" applyAlignment="1">
      <alignment vertical="top"/>
    </xf>
    <xf numFmtId="0" fontId="47" fillId="36" borderId="33" xfId="6" applyFont="1" applyFill="1" applyBorder="1" applyAlignment="1">
      <alignment vertical="top"/>
    </xf>
    <xf numFmtId="0" fontId="45" fillId="0" borderId="34" xfId="6" applyFont="1" applyBorder="1" applyAlignment="1">
      <alignment vertical="top"/>
    </xf>
    <xf numFmtId="0" fontId="47" fillId="0" borderId="23" xfId="6" applyFont="1" applyFill="1" applyBorder="1" applyAlignment="1">
      <alignment horizontal="left" vertical="top" wrapText="1"/>
    </xf>
    <xf numFmtId="0" fontId="45" fillId="0" borderId="24" xfId="6" applyFont="1" applyFill="1" applyBorder="1" applyAlignment="1">
      <alignment horizontal="left" vertical="top"/>
    </xf>
    <xf numFmtId="0" fontId="45" fillId="0" borderId="26" xfId="6" applyFont="1" applyFill="1" applyBorder="1" applyAlignment="1">
      <alignment horizontal="left" vertical="top"/>
    </xf>
    <xf numFmtId="0" fontId="47" fillId="0" borderId="0" xfId="6" applyFont="1" applyFill="1" applyBorder="1" applyAlignment="1">
      <alignment vertical="top" wrapText="1"/>
    </xf>
    <xf numFmtId="0" fontId="6" fillId="0" borderId="0" xfId="6" applyBorder="1" applyAlignment="1"/>
    <xf numFmtId="0" fontId="6" fillId="0" borderId="30" xfId="6" applyBorder="1" applyAlignment="1"/>
    <xf numFmtId="0" fontId="47" fillId="36" borderId="0" xfId="6" applyFont="1" applyFill="1" applyBorder="1" applyAlignment="1">
      <alignment horizontal="center" vertical="top" wrapText="1"/>
    </xf>
    <xf numFmtId="0" fontId="47" fillId="36" borderId="35" xfId="6" applyFont="1" applyFill="1" applyBorder="1" applyAlignment="1">
      <alignment horizontal="center" vertical="top" wrapText="1"/>
    </xf>
    <xf numFmtId="0" fontId="47" fillId="36" borderId="30" xfId="6" applyFont="1" applyFill="1" applyBorder="1" applyAlignment="1">
      <alignment horizontal="center" vertical="top" wrapText="1"/>
    </xf>
    <xf numFmtId="0" fontId="6" fillId="0" borderId="30" xfId="6" applyBorder="1" applyAlignment="1">
      <alignment vertical="top"/>
    </xf>
    <xf numFmtId="9" fontId="45" fillId="0" borderId="37" xfId="6" applyNumberFormat="1" applyFont="1" applyFill="1" applyBorder="1" applyAlignment="1">
      <alignment horizontal="center" vertical="center" wrapText="1"/>
    </xf>
    <xf numFmtId="0" fontId="44" fillId="0" borderId="38" xfId="6" applyFont="1" applyFill="1" applyBorder="1" applyAlignment="1">
      <alignment horizontal="center" vertical="center" wrapText="1"/>
    </xf>
    <xf numFmtId="9" fontId="45" fillId="0" borderId="12" xfId="6" applyNumberFormat="1" applyFont="1" applyFill="1" applyBorder="1" applyAlignment="1">
      <alignment horizontal="center" vertical="center" wrapText="1"/>
    </xf>
    <xf numFmtId="0" fontId="44" fillId="37" borderId="41" xfId="6" applyFont="1" applyFill="1" applyBorder="1" applyAlignment="1">
      <alignment horizontal="center" vertical="top"/>
    </xf>
    <xf numFmtId="0" fontId="44" fillId="0" borderId="12" xfId="6" applyFont="1" applyBorder="1" applyAlignment="1">
      <alignment vertical="center" wrapText="1"/>
    </xf>
    <xf numFmtId="0" fontId="44" fillId="37" borderId="48" xfId="6" applyFont="1" applyFill="1" applyBorder="1" applyAlignment="1">
      <alignment horizontal="center" vertical="top"/>
    </xf>
    <xf numFmtId="0" fontId="44" fillId="0" borderId="32" xfId="6" applyFont="1" applyBorder="1" applyAlignment="1">
      <alignment horizontal="center" vertical="top" wrapText="1"/>
    </xf>
    <xf numFmtId="0" fontId="44" fillId="0" borderId="49" xfId="6" applyFont="1" applyFill="1" applyBorder="1" applyAlignment="1">
      <alignment horizontal="center" vertical="center" wrapText="1"/>
    </xf>
    <xf numFmtId="0" fontId="6" fillId="0" borderId="51" xfId="6" applyBorder="1" applyAlignment="1">
      <alignment vertical="top"/>
    </xf>
    <xf numFmtId="0" fontId="6" fillId="0" borderId="51" xfId="6" applyBorder="1" applyAlignment="1">
      <alignment vertical="top" wrapText="1"/>
    </xf>
    <xf numFmtId="0" fontId="6" fillId="0" borderId="51" xfId="6" applyBorder="1" applyAlignment="1">
      <alignment horizontal="right" vertical="top" wrapText="1"/>
    </xf>
    <xf numFmtId="0" fontId="52" fillId="0" borderId="51" xfId="6" applyFont="1" applyBorder="1" applyAlignment="1">
      <alignment horizontal="center" vertical="top"/>
    </xf>
    <xf numFmtId="0" fontId="6" fillId="0" borderId="52" xfId="6" applyBorder="1" applyAlignment="1">
      <alignment vertical="top"/>
    </xf>
    <xf numFmtId="0" fontId="44" fillId="0" borderId="38" xfId="6" applyFont="1" applyBorder="1" applyAlignment="1">
      <alignment vertical="top" wrapText="1"/>
    </xf>
    <xf numFmtId="0" fontId="50" fillId="37" borderId="34" xfId="6" applyFont="1" applyFill="1" applyBorder="1" applyAlignment="1">
      <alignment horizontal="center" vertical="top"/>
    </xf>
    <xf numFmtId="0" fontId="50" fillId="37" borderId="53" xfId="6" applyFont="1" applyFill="1" applyBorder="1" applyAlignment="1">
      <alignment horizontal="center" vertical="top"/>
    </xf>
    <xf numFmtId="0" fontId="44" fillId="37" borderId="34" xfId="6" applyFont="1" applyFill="1" applyBorder="1" applyAlignment="1">
      <alignment vertical="top"/>
    </xf>
    <xf numFmtId="0" fontId="44" fillId="37" borderId="54" xfId="6" applyFont="1" applyFill="1" applyBorder="1" applyAlignment="1">
      <alignment horizontal="center" vertical="top"/>
    </xf>
    <xf numFmtId="0" fontId="44" fillId="0" borderId="25" xfId="6" applyFont="1" applyBorder="1" applyAlignment="1">
      <alignment vertical="top" wrapText="1"/>
    </xf>
    <xf numFmtId="0" fontId="44" fillId="0" borderId="55" xfId="6" applyFont="1" applyBorder="1" applyAlignment="1">
      <alignment vertical="top" wrapText="1"/>
    </xf>
    <xf numFmtId="0" fontId="44" fillId="0" borderId="56" xfId="6" applyFont="1" applyBorder="1" applyAlignment="1">
      <alignment vertical="top" wrapText="1"/>
    </xf>
    <xf numFmtId="0" fontId="44" fillId="0" borderId="57" xfId="6" applyFont="1" applyBorder="1" applyAlignment="1">
      <alignment vertical="top" wrapText="1"/>
    </xf>
    <xf numFmtId="0" fontId="47" fillId="36" borderId="50" xfId="6" applyFont="1" applyFill="1" applyBorder="1" applyAlignment="1">
      <alignment vertical="top" wrapText="1"/>
    </xf>
    <xf numFmtId="0" fontId="49" fillId="36" borderId="51" xfId="6" applyFont="1" applyFill="1" applyBorder="1" applyAlignment="1">
      <alignment vertical="top"/>
    </xf>
    <xf numFmtId="0" fontId="47" fillId="36" borderId="40" xfId="6" applyFont="1" applyFill="1" applyBorder="1" applyAlignment="1">
      <alignment horizontal="center" vertical="top" wrapText="1"/>
    </xf>
    <xf numFmtId="0" fontId="47" fillId="36" borderId="52" xfId="6" applyFont="1" applyFill="1" applyBorder="1" applyAlignment="1">
      <alignment horizontal="center" vertical="top" wrapText="1"/>
    </xf>
    <xf numFmtId="0" fontId="44" fillId="37" borderId="32" xfId="6" applyFont="1" applyFill="1" applyBorder="1" applyAlignment="1">
      <alignment horizontal="center" vertical="top"/>
    </xf>
    <xf numFmtId="0" fontId="44" fillId="0" borderId="13" xfId="6" applyFont="1" applyBorder="1" applyAlignment="1">
      <alignment horizontal="center" vertical="top" wrapText="1"/>
    </xf>
    <xf numFmtId="0" fontId="44" fillId="0" borderId="60" xfId="6" applyFont="1" applyBorder="1" applyAlignment="1">
      <alignment horizontal="left" vertical="top" wrapText="1"/>
    </xf>
    <xf numFmtId="0" fontId="44" fillId="0" borderId="60" xfId="6" applyFont="1" applyBorder="1" applyAlignment="1">
      <alignment vertical="top" wrapText="1"/>
    </xf>
    <xf numFmtId="0" fontId="44" fillId="0" borderId="61" xfId="6" applyFont="1" applyBorder="1" applyAlignment="1">
      <alignment vertical="top" wrapText="1"/>
    </xf>
    <xf numFmtId="0" fontId="44" fillId="0" borderId="62" xfId="6" applyFont="1" applyBorder="1" applyAlignment="1">
      <alignment vertical="top" wrapText="1"/>
    </xf>
    <xf numFmtId="0" fontId="44" fillId="0" borderId="38" xfId="6" applyFont="1" applyBorder="1" applyAlignment="1">
      <alignment horizontal="left" vertical="top" wrapText="1"/>
    </xf>
    <xf numFmtId="0" fontId="44" fillId="0" borderId="31" xfId="6" applyFont="1" applyBorder="1" applyAlignment="1">
      <alignment horizontal="center" vertical="top" wrapText="1"/>
    </xf>
    <xf numFmtId="0" fontId="44" fillId="0" borderId="38" xfId="6" applyFont="1" applyFill="1" applyBorder="1" applyAlignment="1">
      <alignment horizontal="center" vertical="center" wrapText="1"/>
    </xf>
    <xf numFmtId="0" fontId="44" fillId="0" borderId="49" xfId="6" applyFont="1" applyFill="1" applyBorder="1" applyAlignment="1">
      <alignment horizontal="center" vertical="center" wrapText="1"/>
    </xf>
    <xf numFmtId="0" fontId="47" fillId="36" borderId="23" xfId="6" applyFont="1" applyFill="1" applyBorder="1" applyAlignment="1">
      <alignment horizontal="center" vertical="top" wrapText="1"/>
    </xf>
    <xf numFmtId="0" fontId="47" fillId="36" borderId="26" xfId="6" applyFont="1" applyFill="1" applyBorder="1" applyAlignment="1">
      <alignment horizontal="center" vertical="top" wrapText="1"/>
    </xf>
    <xf numFmtId="0" fontId="47" fillId="36" borderId="30" xfId="6" applyFont="1" applyFill="1" applyBorder="1" applyAlignment="1">
      <alignment horizontal="center" vertical="top" wrapText="1"/>
    </xf>
    <xf numFmtId="0" fontId="44" fillId="0" borderId="32" xfId="6" applyFont="1" applyBorder="1" applyAlignment="1">
      <alignment horizontal="center" vertical="top" wrapText="1"/>
    </xf>
    <xf numFmtId="0" fontId="44" fillId="0" borderId="38" xfId="6" applyFont="1" applyBorder="1" applyAlignment="1">
      <alignment horizontal="left" vertical="top" wrapText="1"/>
    </xf>
    <xf numFmtId="0" fontId="44" fillId="0" borderId="60" xfId="6" applyFont="1" applyBorder="1" applyAlignment="1">
      <alignment horizontal="left" vertical="top" wrapText="1"/>
    </xf>
    <xf numFmtId="17" fontId="45" fillId="0" borderId="27" xfId="6" quotePrefix="1" applyNumberFormat="1" applyFont="1" applyFill="1" applyBorder="1" applyAlignment="1">
      <alignment horizontal="right" vertical="top" wrapText="1"/>
    </xf>
    <xf numFmtId="0" fontId="0" fillId="0" borderId="23" xfId="0" applyBorder="1"/>
    <xf numFmtId="0" fontId="0" fillId="0" borderId="24" xfId="0" applyBorder="1"/>
    <xf numFmtId="0" fontId="0" fillId="0" borderId="25" xfId="0" applyBorder="1"/>
    <xf numFmtId="0" fontId="46" fillId="0" borderId="26" xfId="6" applyFont="1" applyFill="1" applyBorder="1" applyAlignment="1">
      <alignment vertical="top" wrapText="1"/>
    </xf>
    <xf numFmtId="0" fontId="7" fillId="0" borderId="50" xfId="6" applyFont="1" applyBorder="1" applyAlignment="1">
      <alignment vertical="top" wrapText="1"/>
    </xf>
    <xf numFmtId="0" fontId="46" fillId="0" borderId="95" xfId="6" applyFont="1" applyFill="1" applyBorder="1" applyAlignment="1">
      <alignment vertical="top"/>
    </xf>
    <xf numFmtId="0" fontId="45" fillId="0" borderId="28" xfId="6" applyFont="1" applyFill="1" applyBorder="1" applyAlignment="1">
      <alignment vertical="top"/>
    </xf>
    <xf numFmtId="0" fontId="45" fillId="0" borderId="28" xfId="6" applyFont="1" applyFill="1" applyBorder="1" applyAlignment="1">
      <alignment vertical="top" wrapText="1"/>
    </xf>
    <xf numFmtId="0" fontId="6" fillId="8" borderId="0" xfId="6" applyFill="1" applyAlignment="1">
      <alignment horizontal="left" vertical="center"/>
    </xf>
    <xf numFmtId="0" fontId="45" fillId="8" borderId="0" xfId="6" applyFont="1" applyFill="1" applyAlignment="1">
      <alignment vertical="top" wrapText="1"/>
    </xf>
    <xf numFmtId="0" fontId="45" fillId="8" borderId="3" xfId="6" applyFont="1" applyFill="1" applyBorder="1" applyAlignment="1">
      <alignment vertical="top" wrapText="1"/>
    </xf>
    <xf numFmtId="0" fontId="45" fillId="8" borderId="0" xfId="6" applyFont="1" applyFill="1" applyAlignment="1">
      <alignment vertical="center" wrapText="1"/>
    </xf>
    <xf numFmtId="0" fontId="54" fillId="8" borderId="10" xfId="6" quotePrefix="1" applyFont="1" applyFill="1" applyBorder="1" applyAlignment="1">
      <alignment vertical="top" wrapText="1"/>
    </xf>
    <xf numFmtId="0" fontId="45" fillId="8" borderId="0" xfId="6" applyFont="1" applyFill="1" applyAlignment="1">
      <alignment horizontal="left" vertical="center"/>
    </xf>
    <xf numFmtId="0" fontId="45" fillId="8" borderId="11" xfId="6" applyFont="1" applyFill="1" applyBorder="1" applyAlignment="1">
      <alignment vertical="center" wrapText="1"/>
    </xf>
    <xf numFmtId="0" fontId="54" fillId="8" borderId="10" xfId="6" applyFont="1" applyFill="1" applyBorder="1" applyAlignment="1">
      <alignment vertical="top" wrapText="1"/>
    </xf>
    <xf numFmtId="0" fontId="47" fillId="8" borderId="0" xfId="6" applyFont="1" applyFill="1" applyAlignment="1">
      <alignment horizontal="left" vertical="center"/>
    </xf>
    <xf numFmtId="0" fontId="45" fillId="8" borderId="8" xfId="6" applyFont="1" applyFill="1" applyBorder="1" applyAlignment="1">
      <alignment vertical="top" wrapText="1"/>
    </xf>
    <xf numFmtId="0" fontId="45" fillId="8" borderId="56" xfId="6" applyFont="1" applyFill="1" applyBorder="1" applyAlignment="1">
      <alignment vertical="top" wrapText="1"/>
    </xf>
    <xf numFmtId="0" fontId="44" fillId="8" borderId="0" xfId="6" applyFont="1" applyFill="1" applyAlignment="1">
      <alignment vertical="top" wrapText="1"/>
    </xf>
    <xf numFmtId="0" fontId="54" fillId="8" borderId="0" xfId="6" applyFont="1" applyFill="1" applyAlignment="1">
      <alignment wrapText="1"/>
    </xf>
    <xf numFmtId="0" fontId="54" fillId="8" borderId="0" xfId="6" quotePrefix="1" applyFont="1" applyFill="1" applyAlignment="1">
      <alignment wrapText="1"/>
    </xf>
    <xf numFmtId="0" fontId="54" fillId="8" borderId="0" xfId="6" applyFont="1" applyFill="1" applyAlignment="1">
      <alignment vertical="top" wrapText="1"/>
    </xf>
    <xf numFmtId="0" fontId="46" fillId="8" borderId="0" xfId="6" applyFont="1" applyFill="1" applyAlignment="1">
      <alignment vertical="center" wrapText="1"/>
    </xf>
    <xf numFmtId="0" fontId="44" fillId="8" borderId="10" xfId="6" applyFont="1" applyFill="1" applyBorder="1" applyAlignment="1">
      <alignment vertical="top" wrapText="1"/>
    </xf>
    <xf numFmtId="0" fontId="56" fillId="8" borderId="0" xfId="6" applyFont="1" applyFill="1" applyAlignment="1">
      <alignment horizontal="center" vertical="center" wrapText="1"/>
    </xf>
    <xf numFmtId="0" fontId="57" fillId="8" borderId="0" xfId="6" applyFont="1" applyFill="1" applyAlignment="1">
      <alignment vertical="center"/>
    </xf>
    <xf numFmtId="0" fontId="55" fillId="8" borderId="0" xfId="6" applyFont="1" applyFill="1" applyAlignment="1">
      <alignment horizontal="left" vertical="center" wrapText="1"/>
    </xf>
    <xf numFmtId="0" fontId="56" fillId="8" borderId="0" xfId="6" applyFont="1" applyFill="1" applyAlignment="1">
      <alignment vertical="center"/>
    </xf>
    <xf numFmtId="0" fontId="56" fillId="8" borderId="0" xfId="6" applyFont="1" applyFill="1" applyAlignment="1">
      <alignment horizontal="left" vertical="center" wrapText="1"/>
    </xf>
    <xf numFmtId="0" fontId="6" fillId="8" borderId="0" xfId="6" applyFill="1" applyAlignment="1">
      <alignment horizontal="center" vertical="center" wrapText="1"/>
    </xf>
    <xf numFmtId="0" fontId="7" fillId="8" borderId="0" xfId="6" applyFont="1" applyFill="1" applyAlignment="1">
      <alignment horizontal="center" vertical="center" wrapText="1"/>
    </xf>
    <xf numFmtId="0" fontId="6" fillId="8" borderId="0" xfId="6" applyFill="1" applyAlignment="1">
      <alignment horizontal="left" vertical="center" wrapText="1"/>
    </xf>
    <xf numFmtId="43" fontId="0" fillId="12" borderId="0" xfId="0" applyNumberFormat="1" applyFill="1"/>
    <xf numFmtId="0" fontId="3" fillId="12" borderId="0" xfId="0" applyFont="1" applyFill="1"/>
    <xf numFmtId="0" fontId="58" fillId="0" borderId="0" xfId="0" applyFont="1" applyFill="1"/>
    <xf numFmtId="1" fontId="0" fillId="12" borderId="0" xfId="0" applyNumberFormat="1" applyFill="1"/>
    <xf numFmtId="164" fontId="0" fillId="12" borderId="0" xfId="0" applyNumberFormat="1" applyFill="1" applyAlignment="1">
      <alignment vertical="center"/>
    </xf>
    <xf numFmtId="0" fontId="0" fillId="0" borderId="0" xfId="0" applyFont="1" applyAlignment="1">
      <alignment horizontal="left"/>
    </xf>
    <xf numFmtId="3" fontId="0" fillId="0" borderId="0" xfId="0" applyNumberFormat="1"/>
    <xf numFmtId="6" fontId="0" fillId="0" borderId="0" xfId="0" applyNumberFormat="1"/>
    <xf numFmtId="170" fontId="0" fillId="0" borderId="0" xfId="0" applyNumberFormat="1"/>
    <xf numFmtId="43" fontId="0" fillId="0" borderId="0" xfId="1" applyNumberFormat="1" applyFont="1"/>
    <xf numFmtId="0" fontId="0" fillId="0" borderId="0" xfId="0" applyAlignment="1">
      <alignment horizontal="center"/>
    </xf>
    <xf numFmtId="0" fontId="0" fillId="0" borderId="0" xfId="0" applyAlignment="1">
      <alignment horizontal="center" wrapText="1"/>
    </xf>
    <xf numFmtId="0" fontId="3" fillId="0" borderId="0" xfId="0" applyFont="1" applyAlignment="1">
      <alignment horizontal="center" wrapText="1"/>
    </xf>
    <xf numFmtId="0" fontId="3" fillId="0" borderId="0" xfId="0" applyFont="1" applyFill="1"/>
    <xf numFmtId="171" fontId="0" fillId="0" borderId="0" xfId="0" applyNumberFormat="1"/>
    <xf numFmtId="2" fontId="3" fillId="6" borderId="0" xfId="0" applyNumberFormat="1" applyFont="1" applyFill="1"/>
    <xf numFmtId="9" fontId="3" fillId="3" borderId="0" xfId="0" applyNumberFormat="1" applyFont="1" applyFill="1"/>
    <xf numFmtId="10" fontId="3" fillId="3" borderId="0" xfId="0" applyNumberFormat="1" applyFont="1" applyFill="1"/>
    <xf numFmtId="165" fontId="45" fillId="8" borderId="64" xfId="1" applyNumberFormat="1" applyFont="1" applyFill="1" applyBorder="1" applyAlignment="1">
      <alignment vertical="top" wrapText="1"/>
    </xf>
    <xf numFmtId="165" fontId="45" fillId="8" borderId="7" xfId="1" applyNumberFormat="1" applyFont="1" applyFill="1" applyBorder="1" applyAlignment="1">
      <alignment vertical="top" wrapText="1"/>
    </xf>
    <xf numFmtId="165" fontId="45" fillId="8" borderId="38" xfId="1" applyNumberFormat="1" applyFont="1" applyFill="1" applyBorder="1" applyAlignment="1">
      <alignment vertical="top" wrapText="1"/>
    </xf>
    <xf numFmtId="165" fontId="45" fillId="8" borderId="38" xfId="6" applyNumberFormat="1" applyFont="1" applyFill="1" applyBorder="1" applyAlignment="1">
      <alignment vertical="top" wrapText="1"/>
    </xf>
    <xf numFmtId="43" fontId="45" fillId="8" borderId="64" xfId="6" applyNumberFormat="1" applyFont="1" applyFill="1" applyBorder="1" applyAlignment="1">
      <alignment vertical="top" wrapText="1"/>
    </xf>
    <xf numFmtId="6" fontId="3" fillId="9" borderId="0" xfId="0" applyNumberFormat="1" applyFont="1" applyFill="1"/>
    <xf numFmtId="166" fontId="3" fillId="9" borderId="0" xfId="0" applyNumberFormat="1" applyFont="1" applyFill="1"/>
    <xf numFmtId="0" fontId="3" fillId="9" borderId="0" xfId="0" applyFont="1" applyFill="1" applyAlignment="1">
      <alignment horizontal="left"/>
    </xf>
    <xf numFmtId="2" fontId="3" fillId="9" borderId="0" xfId="0" applyNumberFormat="1" applyFont="1" applyFill="1"/>
    <xf numFmtId="2" fontId="0" fillId="0" borderId="0" xfId="0" applyNumberFormat="1" applyFill="1"/>
    <xf numFmtId="6" fontId="0" fillId="0" borderId="0" xfId="0" applyNumberFormat="1" applyFill="1"/>
    <xf numFmtId="0" fontId="0" fillId="3" borderId="0" xfId="0" applyFont="1" applyFill="1" applyAlignment="1">
      <alignment horizontal="center"/>
    </xf>
    <xf numFmtId="0" fontId="0" fillId="0" borderId="0" xfId="0" applyFont="1" applyAlignment="1">
      <alignment horizontal="center" wrapText="1"/>
    </xf>
    <xf numFmtId="166" fontId="0" fillId="0" borderId="0" xfId="0" applyNumberFormat="1" applyFont="1" applyFill="1"/>
    <xf numFmtId="166" fontId="3" fillId="6" borderId="0" xfId="1" applyNumberFormat="1" applyFont="1" applyFill="1"/>
    <xf numFmtId="166" fontId="58" fillId="6" borderId="0" xfId="3" applyNumberFormat="1" applyFont="1" applyFill="1" applyAlignment="1">
      <alignment wrapText="1"/>
    </xf>
    <xf numFmtId="166" fontId="58" fillId="6" borderId="0" xfId="0" applyNumberFormat="1" applyFont="1" applyFill="1"/>
    <xf numFmtId="0" fontId="58" fillId="6" borderId="0" xfId="0" applyFont="1" applyFill="1" applyAlignment="1">
      <alignment horizontal="left" wrapText="1"/>
    </xf>
    <xf numFmtId="165" fontId="45" fillId="0" borderId="7" xfId="1" applyNumberFormat="1" applyFont="1" applyFill="1" applyBorder="1" applyAlignment="1">
      <alignment vertical="top" wrapText="1"/>
    </xf>
    <xf numFmtId="165" fontId="45" fillId="0" borderId="38" xfId="1" applyNumberFormat="1" applyFont="1" applyFill="1" applyBorder="1" applyAlignment="1">
      <alignment vertical="top" wrapText="1"/>
    </xf>
    <xf numFmtId="165" fontId="45" fillId="8" borderId="35" xfId="1" applyNumberFormat="1" applyFont="1" applyFill="1" applyBorder="1" applyAlignment="1">
      <alignment vertical="top" wrapText="1"/>
    </xf>
    <xf numFmtId="0" fontId="44" fillId="0" borderId="31" xfId="6" applyFont="1" applyBorder="1" applyAlignment="1">
      <alignment horizontal="left" vertical="top" wrapText="1"/>
    </xf>
    <xf numFmtId="0" fontId="44" fillId="0" borderId="39" xfId="6" applyFont="1" applyBorder="1" applyAlignment="1">
      <alignment horizontal="left" vertical="top" wrapText="1"/>
    </xf>
    <xf numFmtId="165" fontId="45" fillId="0" borderId="37" xfId="1" applyNumberFormat="1" applyFont="1" applyFill="1" applyBorder="1" applyAlignment="1">
      <alignment horizontal="center" vertical="center" wrapText="1"/>
    </xf>
    <xf numFmtId="0" fontId="44" fillId="0" borderId="58" xfId="6" applyFont="1" applyBorder="1" applyAlignment="1">
      <alignment horizontal="left" vertical="top" wrapText="1"/>
    </xf>
    <xf numFmtId="0" fontId="44" fillId="0" borderId="42" xfId="6" applyFont="1" applyBorder="1" applyAlignment="1">
      <alignment horizontal="left" vertical="top" wrapText="1"/>
    </xf>
    <xf numFmtId="165" fontId="44" fillId="0" borderId="43" xfId="1" applyNumberFormat="1" applyFont="1" applyFill="1" applyBorder="1" applyAlignment="1">
      <alignment horizontal="center" vertical="center" wrapText="1"/>
    </xf>
    <xf numFmtId="0" fontId="44" fillId="0" borderId="44" xfId="6" applyFont="1" applyBorder="1" applyAlignment="1">
      <alignment horizontal="left" vertical="top" wrapText="1"/>
    </xf>
    <xf numFmtId="0" fontId="44" fillId="0" borderId="45" xfId="6" applyFont="1" applyBorder="1" applyAlignment="1">
      <alignment horizontal="left" vertical="top" wrapText="1"/>
    </xf>
    <xf numFmtId="165" fontId="44" fillId="0" borderId="35" xfId="1" applyNumberFormat="1" applyFont="1" applyFill="1" applyBorder="1" applyAlignment="1">
      <alignment horizontal="center" vertical="center" wrapText="1"/>
    </xf>
    <xf numFmtId="0" fontId="44" fillId="0" borderId="47" xfId="6" applyFont="1" applyBorder="1" applyAlignment="1">
      <alignment horizontal="left" vertical="top" wrapText="1"/>
    </xf>
    <xf numFmtId="0" fontId="44" fillId="0" borderId="46" xfId="6" applyFont="1" applyBorder="1" applyAlignment="1">
      <alignment horizontal="left" vertical="top" wrapText="1"/>
    </xf>
    <xf numFmtId="165" fontId="44" fillId="0" borderId="7" xfId="1" applyNumberFormat="1" applyFont="1" applyBorder="1" applyAlignment="1">
      <alignment vertical="center" wrapText="1"/>
    </xf>
    <xf numFmtId="165" fontId="44" fillId="0" borderId="38" xfId="1" applyNumberFormat="1" applyFont="1" applyFill="1" applyBorder="1" applyAlignment="1">
      <alignment horizontal="center" vertical="center" wrapText="1"/>
    </xf>
    <xf numFmtId="0" fontId="44" fillId="0" borderId="59" xfId="6" applyFont="1" applyBorder="1" applyAlignment="1">
      <alignment horizontal="left" vertical="top" wrapText="1"/>
    </xf>
    <xf numFmtId="0" fontId="44" fillId="0" borderId="32" xfId="6" applyFont="1" applyBorder="1" applyAlignment="1">
      <alignment horizontal="left" vertical="top" wrapText="1"/>
    </xf>
    <xf numFmtId="165" fontId="44" fillId="0" borderId="36" xfId="1" applyNumberFormat="1" applyFont="1" applyFill="1" applyBorder="1" applyAlignment="1">
      <alignment horizontal="center" vertical="center" wrapText="1"/>
    </xf>
    <xf numFmtId="165" fontId="44" fillId="0" borderId="49" xfId="1" applyNumberFormat="1" applyFont="1" applyFill="1" applyBorder="1" applyAlignment="1">
      <alignment horizontal="center" vertical="center" wrapText="1"/>
    </xf>
    <xf numFmtId="0" fontId="50" fillId="37" borderId="101" xfId="6" applyFont="1" applyFill="1" applyBorder="1" applyAlignment="1">
      <alignment horizontal="center" vertical="top"/>
    </xf>
    <xf numFmtId="0" fontId="0" fillId="42" borderId="0" xfId="0" applyFill="1"/>
    <xf numFmtId="0" fontId="24" fillId="42" borderId="0" xfId="0" applyFont="1" applyFill="1"/>
    <xf numFmtId="0" fontId="25" fillId="42" borderId="0" xfId="0" applyFont="1" applyFill="1"/>
    <xf numFmtId="0" fontId="20" fillId="42" borderId="0" xfId="6" applyFont="1" applyFill="1" applyAlignment="1">
      <alignment horizontal="left" vertical="center"/>
    </xf>
    <xf numFmtId="0" fontId="53" fillId="42" borderId="0" xfId="6" applyFont="1" applyFill="1" applyAlignment="1">
      <alignment wrapText="1"/>
    </xf>
    <xf numFmtId="0" fontId="45" fillId="42" borderId="0" xfId="6" applyFont="1" applyFill="1" applyAlignment="1">
      <alignment wrapText="1"/>
    </xf>
    <xf numFmtId="0" fontId="55" fillId="42" borderId="0" xfId="6" applyFont="1" applyFill="1" applyAlignment="1">
      <alignment horizontal="center" vertical="center" wrapText="1"/>
    </xf>
    <xf numFmtId="0" fontId="56" fillId="42" borderId="0" xfId="6" applyFont="1" applyFill="1" applyAlignment="1">
      <alignment horizontal="center" vertical="center" wrapText="1"/>
    </xf>
    <xf numFmtId="0" fontId="6" fillId="42" borderId="0" xfId="6" applyFill="1" applyAlignment="1">
      <alignment horizontal="center" vertical="center" wrapText="1"/>
    </xf>
    <xf numFmtId="0" fontId="0" fillId="43" borderId="0" xfId="0" applyFill="1"/>
    <xf numFmtId="6" fontId="0" fillId="12" borderId="0" xfId="0" applyNumberFormat="1" applyFill="1"/>
    <xf numFmtId="9" fontId="0" fillId="12" borderId="0" xfId="0" applyNumberFormat="1" applyFill="1"/>
    <xf numFmtId="6" fontId="0" fillId="43" borderId="0" xfId="0" applyNumberFormat="1" applyFill="1"/>
    <xf numFmtId="6" fontId="0" fillId="5" borderId="0" xfId="0" applyNumberFormat="1" applyFill="1"/>
    <xf numFmtId="0" fontId="6" fillId="42" borderId="0" xfId="6" applyFill="1" applyAlignment="1">
      <alignment horizontal="left" vertical="center"/>
    </xf>
    <xf numFmtId="0" fontId="45" fillId="42" borderId="0" xfId="6" applyFont="1" applyFill="1" applyAlignment="1">
      <alignment horizontal="left" vertical="center"/>
    </xf>
    <xf numFmtId="0" fontId="47" fillId="42" borderId="0" xfId="6" applyFont="1" applyFill="1" applyAlignment="1">
      <alignment horizontal="left" vertical="center"/>
    </xf>
    <xf numFmtId="0" fontId="44" fillId="11" borderId="38" xfId="6" applyFont="1" applyFill="1" applyBorder="1" applyAlignment="1">
      <alignment horizontal="center" vertical="center" wrapText="1"/>
    </xf>
    <xf numFmtId="0" fontId="44" fillId="11" borderId="49" xfId="6" applyFont="1" applyFill="1" applyBorder="1" applyAlignment="1">
      <alignment horizontal="center" vertical="center" wrapText="1"/>
    </xf>
    <xf numFmtId="165" fontId="44" fillId="11" borderId="43" xfId="1" applyNumberFormat="1" applyFont="1" applyFill="1" applyBorder="1" applyAlignment="1">
      <alignment horizontal="center" vertical="center" wrapText="1"/>
    </xf>
    <xf numFmtId="165" fontId="44" fillId="11" borderId="35" xfId="1" applyNumberFormat="1" applyFont="1" applyFill="1" applyBorder="1" applyAlignment="1">
      <alignment horizontal="center" vertical="center" wrapText="1"/>
    </xf>
    <xf numFmtId="165" fontId="44" fillId="11" borderId="38" xfId="1" applyNumberFormat="1" applyFont="1" applyFill="1" applyBorder="1" applyAlignment="1">
      <alignment horizontal="center" vertical="center" wrapText="1"/>
    </xf>
    <xf numFmtId="165" fontId="44" fillId="11" borderId="36" xfId="1" applyNumberFormat="1" applyFont="1" applyFill="1" applyBorder="1" applyAlignment="1">
      <alignment horizontal="center" vertical="center" wrapText="1"/>
    </xf>
    <xf numFmtId="165" fontId="44" fillId="11" borderId="49" xfId="1" applyNumberFormat="1" applyFont="1" applyFill="1" applyBorder="1" applyAlignment="1">
      <alignment horizontal="center" vertical="center" wrapText="1"/>
    </xf>
    <xf numFmtId="0" fontId="0" fillId="0" borderId="64" xfId="0" applyBorder="1"/>
    <xf numFmtId="166" fontId="0" fillId="0" borderId="31" xfId="0" applyNumberFormat="1" applyBorder="1"/>
    <xf numFmtId="166" fontId="0" fillId="0" borderId="38" xfId="0" applyNumberFormat="1" applyBorder="1"/>
    <xf numFmtId="9" fontId="0" fillId="0" borderId="38" xfId="0" applyNumberFormat="1" applyBorder="1"/>
    <xf numFmtId="166" fontId="0" fillId="0" borderId="32" xfId="0" applyNumberFormat="1" applyBorder="1"/>
    <xf numFmtId="168" fontId="0" fillId="0" borderId="0" xfId="0" applyNumberFormat="1"/>
    <xf numFmtId="0" fontId="59" fillId="44" borderId="4" xfId="0" applyFont="1" applyFill="1" applyBorder="1" applyAlignment="1">
      <alignment vertical="center" wrapText="1"/>
    </xf>
    <xf numFmtId="0" fontId="60" fillId="44" borderId="29" xfId="0" applyFont="1" applyFill="1" applyBorder="1" applyAlignment="1">
      <alignment horizontal="center" vertical="center" wrapText="1"/>
    </xf>
    <xf numFmtId="0" fontId="60" fillId="44" borderId="29" xfId="0" applyFont="1" applyFill="1" applyBorder="1" applyAlignment="1">
      <alignment vertical="center" wrapText="1"/>
    </xf>
    <xf numFmtId="0" fontId="61" fillId="0" borderId="72" xfId="0" applyFont="1" applyBorder="1" applyAlignment="1">
      <alignment vertical="center" wrapText="1"/>
    </xf>
    <xf numFmtId="6" fontId="61" fillId="0" borderId="52" xfId="0" applyNumberFormat="1" applyFont="1" applyBorder="1" applyAlignment="1">
      <alignment vertical="center" wrapText="1"/>
    </xf>
    <xf numFmtId="0" fontId="0" fillId="45" borderId="0" xfId="0" applyFill="1"/>
    <xf numFmtId="6" fontId="0" fillId="45" borderId="0" xfId="0" applyNumberFormat="1" applyFill="1"/>
    <xf numFmtId="0" fontId="44" fillId="0" borderId="38" xfId="6" applyFont="1" applyFill="1" applyBorder="1" applyAlignment="1">
      <alignment horizontal="center" vertical="center" wrapText="1"/>
    </xf>
    <xf numFmtId="0" fontId="0" fillId="3" borderId="23" xfId="0" applyFill="1" applyBorder="1" applyAlignment="1">
      <alignment horizontal="center"/>
    </xf>
    <xf numFmtId="165" fontId="0" fillId="0" borderId="0" xfId="0" applyNumberFormat="1" applyFill="1"/>
    <xf numFmtId="0" fontId="44" fillId="0" borderId="13" xfId="6" applyFont="1" applyBorder="1" applyAlignment="1">
      <alignment horizontal="left" vertical="top" wrapText="1"/>
    </xf>
    <xf numFmtId="0" fontId="26" fillId="0" borderId="7" xfId="0" applyFont="1" applyBorder="1" applyAlignment="1"/>
    <xf numFmtId="0" fontId="44" fillId="0" borderId="56" xfId="6" applyFont="1" applyFill="1" applyBorder="1" applyAlignment="1">
      <alignment vertical="top" wrapText="1"/>
    </xf>
    <xf numFmtId="0" fontId="44" fillId="0" borderId="47" xfId="6" applyFont="1" applyFill="1" applyBorder="1" applyAlignment="1">
      <alignment horizontal="left" vertical="top" wrapText="1"/>
    </xf>
    <xf numFmtId="165" fontId="5" fillId="0" borderId="0" xfId="1" applyNumberFormat="1" applyFont="1" applyFill="1"/>
    <xf numFmtId="0" fontId="7" fillId="41" borderId="69" xfId="6" applyFont="1" applyFill="1" applyBorder="1" applyAlignment="1">
      <alignment horizontal="center" vertical="top" textRotation="90" wrapText="1"/>
    </xf>
    <xf numFmtId="0" fontId="7" fillId="41" borderId="71" xfId="6" applyFont="1" applyFill="1" applyBorder="1" applyAlignment="1">
      <alignment horizontal="center" vertical="top" textRotation="90" wrapText="1"/>
    </xf>
    <xf numFmtId="0" fontId="7" fillId="41" borderId="61" xfId="6" applyFont="1" applyFill="1" applyBorder="1" applyAlignment="1">
      <alignment horizontal="center" vertical="top" textRotation="90" wrapText="1"/>
    </xf>
    <xf numFmtId="0" fontId="44" fillId="0" borderId="36" xfId="6" applyFont="1" applyFill="1" applyBorder="1" applyAlignment="1">
      <alignment horizontal="left" vertical="center" wrapText="1"/>
    </xf>
    <xf numFmtId="3" fontId="44" fillId="0" borderId="78" xfId="6" applyNumberFormat="1" applyFont="1" applyFill="1" applyBorder="1" applyAlignment="1">
      <alignment horizontal="left" vertical="center" wrapText="1"/>
    </xf>
    <xf numFmtId="0" fontId="44" fillId="0" borderId="67" xfId="6" applyFont="1" applyFill="1" applyBorder="1" applyAlignment="1">
      <alignment horizontal="left" vertical="center" wrapText="1"/>
    </xf>
    <xf numFmtId="0" fontId="44" fillId="0" borderId="68" xfId="6" applyFont="1" applyFill="1" applyBorder="1" applyAlignment="1">
      <alignment horizontal="left" vertical="center" wrapText="1"/>
    </xf>
    <xf numFmtId="0" fontId="44" fillId="0" borderId="64" xfId="6" applyFont="1" applyFill="1" applyBorder="1" applyAlignment="1">
      <alignment horizontal="left" vertical="center" wrapText="1"/>
    </xf>
    <xf numFmtId="0" fontId="44" fillId="0" borderId="56" xfId="6" applyFont="1" applyFill="1" applyBorder="1" applyAlignment="1">
      <alignment horizontal="left" vertical="center" wrapText="1"/>
    </xf>
    <xf numFmtId="0" fontId="44" fillId="0" borderId="58" xfId="6" applyFont="1" applyFill="1" applyBorder="1" applyAlignment="1">
      <alignment horizontal="left" vertical="center" wrapText="1"/>
    </xf>
    <xf numFmtId="0" fontId="44" fillId="0" borderId="49" xfId="6" applyFont="1" applyFill="1" applyBorder="1" applyAlignment="1">
      <alignment horizontal="left" vertical="center" wrapText="1"/>
    </xf>
    <xf numFmtId="165" fontId="44" fillId="11" borderId="43" xfId="6" applyNumberFormat="1" applyFont="1" applyFill="1" applyBorder="1" applyAlignment="1">
      <alignment horizontal="center" vertical="center" wrapText="1"/>
    </xf>
    <xf numFmtId="0" fontId="44" fillId="11" borderId="100" xfId="6" applyFont="1" applyFill="1" applyBorder="1" applyAlignment="1">
      <alignment horizontal="center" vertical="center" wrapText="1"/>
    </xf>
    <xf numFmtId="0" fontId="44" fillId="11" borderId="36" xfId="6" applyFont="1" applyFill="1" applyBorder="1" applyAlignment="1">
      <alignment horizontal="center" vertical="center" wrapText="1"/>
    </xf>
    <xf numFmtId="0" fontId="44" fillId="0" borderId="44" xfId="6" applyFont="1" applyBorder="1" applyAlignment="1">
      <alignment horizontal="left" vertical="top" wrapText="1"/>
    </xf>
    <xf numFmtId="0" fontId="44" fillId="0" borderId="101" xfId="6" applyFont="1" applyBorder="1" applyAlignment="1">
      <alignment horizontal="left" vertical="top" wrapText="1"/>
    </xf>
    <xf numFmtId="0" fontId="44" fillId="0" borderId="53" xfId="6" applyFont="1" applyBorder="1" applyAlignment="1">
      <alignment horizontal="left" vertical="top" wrapText="1"/>
    </xf>
    <xf numFmtId="0" fontId="47" fillId="38" borderId="63" xfId="6" applyFont="1" applyFill="1" applyBorder="1" applyAlignment="1">
      <alignment horizontal="center" vertical="center" wrapText="1"/>
    </xf>
    <xf numFmtId="0" fontId="47" fillId="38" borderId="38" xfId="6" applyFont="1" applyFill="1" applyBorder="1" applyAlignment="1">
      <alignment horizontal="center" vertical="center" wrapText="1"/>
    </xf>
    <xf numFmtId="0" fontId="47" fillId="38" borderId="64" xfId="6" applyFont="1" applyFill="1" applyBorder="1" applyAlignment="1">
      <alignment horizontal="center" vertical="center" wrapText="1"/>
    </xf>
    <xf numFmtId="0" fontId="49" fillId="38" borderId="63" xfId="6" applyFont="1" applyFill="1" applyBorder="1" applyAlignment="1">
      <alignment horizontal="center" vertical="center" wrapText="1"/>
    </xf>
    <xf numFmtId="0" fontId="49" fillId="38" borderId="38" xfId="6" applyFont="1" applyFill="1" applyBorder="1" applyAlignment="1">
      <alignment horizontal="center" vertical="center" wrapText="1"/>
    </xf>
    <xf numFmtId="0" fontId="49" fillId="38" borderId="38" xfId="6" quotePrefix="1" applyFont="1" applyFill="1" applyBorder="1" applyAlignment="1">
      <alignment horizontal="center" vertical="center" wrapText="1"/>
    </xf>
    <xf numFmtId="0" fontId="49" fillId="38" borderId="64" xfId="6" applyFont="1" applyFill="1" applyBorder="1" applyAlignment="1">
      <alignment horizontal="center" vertical="center" wrapText="1"/>
    </xf>
    <xf numFmtId="0" fontId="45" fillId="0" borderId="80" xfId="6" applyFont="1" applyFill="1" applyBorder="1" applyAlignment="1">
      <alignment horizontal="center" vertical="center" wrapText="1"/>
    </xf>
    <xf numFmtId="0" fontId="45" fillId="0" borderId="81" xfId="6" applyFont="1" applyFill="1" applyBorder="1" applyAlignment="1">
      <alignment horizontal="center" vertical="center" wrapText="1"/>
    </xf>
    <xf numFmtId="0" fontId="45" fillId="0" borderId="81" xfId="6" quotePrefix="1" applyFont="1" applyFill="1" applyBorder="1" applyAlignment="1">
      <alignment horizontal="center" vertical="center" wrapText="1"/>
    </xf>
    <xf numFmtId="0" fontId="45" fillId="0" borderId="92" xfId="6" quotePrefix="1" applyFont="1" applyFill="1" applyBorder="1" applyAlignment="1">
      <alignment horizontal="center" vertical="center" wrapText="1"/>
    </xf>
    <xf numFmtId="0" fontId="47" fillId="38" borderId="3" xfId="6" applyFont="1" applyFill="1" applyBorder="1" applyAlignment="1">
      <alignment horizontal="center" vertical="center"/>
    </xf>
    <xf numFmtId="0" fontId="47" fillId="38" borderId="13" xfId="6" applyFont="1" applyFill="1" applyBorder="1" applyAlignment="1">
      <alignment horizontal="center" vertical="center"/>
    </xf>
    <xf numFmtId="0" fontId="7" fillId="38" borderId="69" xfId="6" applyFont="1" applyFill="1" applyBorder="1" applyAlignment="1">
      <alignment horizontal="center" vertical="top" textRotation="90" wrapText="1"/>
    </xf>
    <xf numFmtId="0" fontId="7" fillId="38" borderId="60" xfId="6" applyFont="1" applyFill="1" applyBorder="1" applyAlignment="1">
      <alignment horizontal="center" vertical="top" textRotation="90" wrapText="1"/>
    </xf>
    <xf numFmtId="0" fontId="7" fillId="38" borderId="61" xfId="6" applyFont="1" applyFill="1" applyBorder="1" applyAlignment="1">
      <alignment horizontal="center" vertical="top" textRotation="90" wrapText="1"/>
    </xf>
    <xf numFmtId="0" fontId="44" fillId="0" borderId="70" xfId="6" applyFont="1" applyBorder="1" applyAlignment="1">
      <alignment horizontal="left" vertical="top" wrapText="1"/>
    </xf>
    <xf numFmtId="0" fontId="44" fillId="0" borderId="71" xfId="6" applyFont="1" applyBorder="1" applyAlignment="1">
      <alignment horizontal="left" vertical="top" wrapText="1"/>
    </xf>
    <xf numFmtId="0" fontId="44" fillId="0" borderId="62" xfId="6" applyFont="1" applyBorder="1" applyAlignment="1">
      <alignment horizontal="left" vertical="top" wrapText="1"/>
    </xf>
    <xf numFmtId="0" fontId="44" fillId="0" borderId="23" xfId="6" applyFont="1" applyBorder="1" applyAlignment="1">
      <alignment horizontal="left" vertical="top" wrapText="1"/>
    </xf>
    <xf numFmtId="0" fontId="44" fillId="0" borderId="26" xfId="6" applyFont="1" applyBorder="1" applyAlignment="1">
      <alignment horizontal="left" vertical="top" wrapText="1"/>
    </xf>
    <xf numFmtId="0" fontId="44" fillId="0" borderId="98" xfId="6" applyFont="1" applyBorder="1" applyAlignment="1">
      <alignment horizontal="left" vertical="top" wrapText="1"/>
    </xf>
    <xf numFmtId="0" fontId="47" fillId="38" borderId="66" xfId="6" applyFont="1" applyFill="1" applyBorder="1" applyAlignment="1">
      <alignment horizontal="center" vertical="center"/>
    </xf>
    <xf numFmtId="0" fontId="47" fillId="38" borderId="67" xfId="6" applyFont="1" applyFill="1" applyBorder="1" applyAlignment="1">
      <alignment horizontal="center" vertical="center"/>
    </xf>
    <xf numFmtId="0" fontId="47" fillId="38" borderId="68" xfId="6" applyFont="1" applyFill="1" applyBorder="1" applyAlignment="1">
      <alignment horizontal="center" vertical="center"/>
    </xf>
    <xf numFmtId="0" fontId="44" fillId="0" borderId="99" xfId="6" applyFont="1" applyFill="1" applyBorder="1" applyAlignment="1">
      <alignment horizontal="center" vertical="center" wrapText="1"/>
    </xf>
    <xf numFmtId="0" fontId="44" fillId="0" borderId="90" xfId="6" applyFont="1" applyFill="1" applyBorder="1" applyAlignment="1">
      <alignment horizontal="center" vertical="center" wrapText="1"/>
    </xf>
    <xf numFmtId="0" fontId="44" fillId="0" borderId="82" xfId="6" applyFont="1" applyFill="1" applyBorder="1" applyAlignment="1">
      <alignment horizontal="center" vertical="center" wrapText="1"/>
    </xf>
    <xf numFmtId="0" fontId="44" fillId="0" borderId="11" xfId="6" applyFont="1" applyFill="1" applyBorder="1" applyAlignment="1">
      <alignment horizontal="center" vertical="center" wrapText="1"/>
    </xf>
    <xf numFmtId="0" fontId="44" fillId="0" borderId="83" xfId="6" applyFont="1" applyFill="1" applyBorder="1" applyAlignment="1">
      <alignment horizontal="center" vertical="center" wrapText="1"/>
    </xf>
    <xf numFmtId="0" fontId="44" fillId="0" borderId="13" xfId="6" applyFont="1" applyFill="1" applyBorder="1" applyAlignment="1">
      <alignment horizontal="center" vertical="center" wrapText="1"/>
    </xf>
    <xf numFmtId="0" fontId="44" fillId="0" borderId="38" xfId="6" applyFont="1" applyFill="1" applyBorder="1" applyAlignment="1">
      <alignment horizontal="left" vertical="center" wrapText="1"/>
    </xf>
    <xf numFmtId="165" fontId="44" fillId="0" borderId="64" xfId="1" applyNumberFormat="1" applyFont="1" applyFill="1" applyBorder="1" applyAlignment="1">
      <alignment vertical="center" wrapText="1"/>
    </xf>
    <xf numFmtId="165" fontId="44" fillId="0" borderId="56" xfId="1" applyNumberFormat="1" applyFont="1" applyFill="1" applyBorder="1" applyAlignment="1">
      <alignment vertical="center" wrapText="1"/>
    </xf>
    <xf numFmtId="165" fontId="44" fillId="0" borderId="58" xfId="1" applyNumberFormat="1" applyFont="1" applyFill="1" applyBorder="1" applyAlignment="1">
      <alignment vertical="center" wrapText="1"/>
    </xf>
    <xf numFmtId="0" fontId="44" fillId="0" borderId="38" xfId="6" applyFont="1" applyFill="1" applyBorder="1" applyAlignment="1">
      <alignment horizontal="left" vertical="top" wrapText="1"/>
    </xf>
    <xf numFmtId="165" fontId="44" fillId="11" borderId="38" xfId="1" applyNumberFormat="1" applyFont="1" applyFill="1" applyBorder="1" applyAlignment="1">
      <alignment horizontal="center" vertical="center" wrapText="1"/>
    </xf>
    <xf numFmtId="0" fontId="44" fillId="37" borderId="55" xfId="6" applyFont="1" applyFill="1" applyBorder="1" applyAlignment="1">
      <alignment horizontal="center" vertical="top"/>
    </xf>
    <xf numFmtId="0" fontId="44" fillId="37" borderId="79" xfId="6" applyFont="1" applyFill="1" applyBorder="1" applyAlignment="1">
      <alignment horizontal="center" vertical="top"/>
    </xf>
    <xf numFmtId="0" fontId="51" fillId="38" borderId="80" xfId="6" applyFont="1" applyFill="1" applyBorder="1" applyAlignment="1">
      <alignment horizontal="left" vertical="center" wrapText="1"/>
    </xf>
    <xf numFmtId="0" fontId="51" fillId="38" borderId="81" xfId="6" applyFont="1" applyFill="1" applyBorder="1" applyAlignment="1">
      <alignment horizontal="left" vertical="center" wrapText="1"/>
    </xf>
    <xf numFmtId="0" fontId="44" fillId="0" borderId="91" xfId="6" applyFont="1" applyFill="1" applyBorder="1" applyAlignment="1">
      <alignment horizontal="center" vertical="center" wrapText="1"/>
    </xf>
    <xf numFmtId="0" fontId="44" fillId="0" borderId="58" xfId="6" applyFont="1" applyFill="1" applyBorder="1" applyAlignment="1">
      <alignment horizontal="center" vertical="center" wrapText="1"/>
    </xf>
    <xf numFmtId="0" fontId="44" fillId="0" borderId="64" xfId="6" applyFont="1" applyFill="1" applyBorder="1" applyAlignment="1">
      <alignment horizontal="center" vertical="center" wrapText="1"/>
    </xf>
    <xf numFmtId="0" fontId="7" fillId="39" borderId="70" xfId="6" applyFont="1" applyFill="1" applyBorder="1" applyAlignment="1">
      <alignment horizontal="center" vertical="top" textRotation="90" wrapText="1"/>
    </xf>
    <xf numFmtId="0" fontId="7" fillId="39" borderId="71" xfId="6" applyFont="1" applyFill="1" applyBorder="1" applyAlignment="1">
      <alignment horizontal="center" vertical="top" textRotation="90" wrapText="1"/>
    </xf>
    <xf numFmtId="0" fontId="7" fillId="39" borderId="72" xfId="6" applyFont="1" applyFill="1" applyBorder="1" applyAlignment="1">
      <alignment horizontal="center" vertical="top" textRotation="90" wrapText="1"/>
    </xf>
    <xf numFmtId="1" fontId="44" fillId="0" borderId="89" xfId="6" applyNumberFormat="1" applyFont="1" applyFill="1" applyBorder="1" applyAlignment="1">
      <alignment horizontal="left" vertical="center" wrapText="1"/>
    </xf>
    <xf numFmtId="1" fontId="44" fillId="0" borderId="90" xfId="6" applyNumberFormat="1" applyFont="1" applyFill="1" applyBorder="1" applyAlignment="1">
      <alignment horizontal="left" vertical="center" wrapText="1"/>
    </xf>
    <xf numFmtId="0" fontId="44" fillId="0" borderId="92" xfId="6" applyFont="1" applyFill="1" applyBorder="1" applyAlignment="1">
      <alignment horizontal="left" vertical="center" wrapText="1"/>
    </xf>
    <xf numFmtId="0" fontId="44" fillId="0" borderId="93" xfId="6" applyFont="1" applyFill="1" applyBorder="1" applyAlignment="1">
      <alignment horizontal="left" vertical="center" wrapText="1"/>
    </xf>
    <xf numFmtId="0" fontId="44" fillId="0" borderId="94" xfId="6" applyFont="1" applyFill="1" applyBorder="1" applyAlignment="1">
      <alignment horizontal="left" vertical="center" wrapText="1"/>
    </xf>
    <xf numFmtId="0" fontId="44" fillId="0" borderId="76" xfId="6" applyFont="1" applyBorder="1" applyAlignment="1">
      <alignment vertical="top" wrapText="1"/>
    </xf>
    <xf numFmtId="0" fontId="6" fillId="0" borderId="62" xfId="6" applyBorder="1" applyAlignment="1">
      <alignment vertical="top" wrapText="1"/>
    </xf>
    <xf numFmtId="0" fontId="44" fillId="0" borderId="75" xfId="6" applyFont="1" applyBorder="1" applyAlignment="1">
      <alignment horizontal="left" vertical="top" wrapText="1"/>
    </xf>
    <xf numFmtId="0" fontId="6" fillId="0" borderId="74" xfId="6" applyBorder="1" applyAlignment="1">
      <alignment horizontal="left" vertical="top" wrapText="1"/>
    </xf>
    <xf numFmtId="0" fontId="51" fillId="38" borderId="13" xfId="6" applyFont="1" applyFill="1" applyBorder="1" applyAlignment="1">
      <alignment horizontal="left" vertical="center" wrapText="1"/>
    </xf>
    <xf numFmtId="0" fontId="51" fillId="38" borderId="36" xfId="6" applyFont="1" applyFill="1" applyBorder="1" applyAlignment="1">
      <alignment horizontal="left" vertical="center" wrapText="1"/>
    </xf>
    <xf numFmtId="0" fontId="44" fillId="0" borderId="88" xfId="6" applyFont="1" applyFill="1" applyBorder="1" applyAlignment="1">
      <alignment horizontal="left" vertical="center" wrapText="1"/>
    </xf>
    <xf numFmtId="0" fontId="44" fillId="0" borderId="9" xfId="6" applyFont="1" applyFill="1" applyBorder="1" applyAlignment="1">
      <alignment horizontal="left" vertical="center" wrapText="1"/>
    </xf>
    <xf numFmtId="0" fontId="44" fillId="0" borderId="83" xfId="6" applyFont="1" applyFill="1" applyBorder="1" applyAlignment="1">
      <alignment horizontal="left" vertical="center" wrapText="1"/>
    </xf>
    <xf numFmtId="0" fontId="44" fillId="0" borderId="13" xfId="6" applyFont="1" applyFill="1" applyBorder="1" applyAlignment="1">
      <alignment horizontal="left" vertical="center" wrapText="1"/>
    </xf>
    <xf numFmtId="0" fontId="44" fillId="0" borderId="38" xfId="6" applyFont="1" applyFill="1" applyBorder="1" applyAlignment="1">
      <alignment horizontal="center" vertical="center" wrapText="1"/>
    </xf>
    <xf numFmtId="0" fontId="44" fillId="0" borderId="49" xfId="6" applyFont="1" applyFill="1" applyBorder="1" applyAlignment="1">
      <alignment horizontal="center" vertical="center" wrapText="1"/>
    </xf>
    <xf numFmtId="0" fontId="44" fillId="0" borderId="59" xfId="6" applyFont="1" applyFill="1" applyBorder="1" applyAlignment="1">
      <alignment horizontal="center" vertical="center" wrapText="1"/>
    </xf>
    <xf numFmtId="0" fontId="44" fillId="0" borderId="65" xfId="6" applyFont="1" applyFill="1" applyBorder="1" applyAlignment="1">
      <alignment horizontal="center" vertical="center" wrapText="1"/>
    </xf>
    <xf numFmtId="165" fontId="44" fillId="11" borderId="36" xfId="1" applyNumberFormat="1" applyFont="1" applyFill="1" applyBorder="1" applyAlignment="1">
      <alignment horizontal="center" vertical="center" wrapText="1"/>
    </xf>
    <xf numFmtId="0" fontId="44" fillId="0" borderId="44" xfId="6" applyFont="1" applyFill="1" applyBorder="1" applyAlignment="1">
      <alignment horizontal="left" vertical="top" wrapText="1"/>
    </xf>
    <xf numFmtId="0" fontId="44" fillId="0" borderId="101" xfId="6" applyFont="1" applyFill="1" applyBorder="1" applyAlignment="1">
      <alignment horizontal="left" vertical="top" wrapText="1"/>
    </xf>
    <xf numFmtId="0" fontId="44" fillId="0" borderId="53" xfId="6" applyFont="1" applyFill="1" applyBorder="1" applyAlignment="1">
      <alignment horizontal="left" vertical="top" wrapText="1"/>
    </xf>
    <xf numFmtId="0" fontId="47" fillId="38" borderId="58" xfId="6" applyFont="1" applyFill="1" applyBorder="1" applyAlignment="1">
      <alignment horizontal="center" vertical="center" wrapText="1"/>
    </xf>
    <xf numFmtId="0" fontId="49" fillId="38" borderId="58" xfId="6" applyFont="1" applyFill="1" applyBorder="1" applyAlignment="1">
      <alignment horizontal="center" vertical="center" wrapText="1"/>
    </xf>
    <xf numFmtId="0" fontId="7" fillId="40" borderId="71" xfId="6" applyFont="1" applyFill="1" applyBorder="1" applyAlignment="1">
      <alignment horizontal="center" vertical="top" textRotation="90" wrapText="1"/>
    </xf>
    <xf numFmtId="0" fontId="7" fillId="40" borderId="72" xfId="6" applyFont="1" applyFill="1" applyBorder="1" applyAlignment="1">
      <alignment horizontal="center" vertical="top" textRotation="90" wrapText="1"/>
    </xf>
    <xf numFmtId="0" fontId="44" fillId="0" borderId="36" xfId="6" applyFont="1" applyBorder="1" applyAlignment="1">
      <alignment horizontal="left" vertical="top" wrapText="1"/>
    </xf>
    <xf numFmtId="0" fontId="44" fillId="0" borderId="38" xfId="6" applyFont="1" applyBorder="1" applyAlignment="1">
      <alignment horizontal="left" vertical="top" wrapText="1"/>
    </xf>
    <xf numFmtId="0" fontId="44" fillId="0" borderId="73" xfId="6" applyFont="1" applyBorder="1" applyAlignment="1">
      <alignment horizontal="left" vertical="top" wrapText="1"/>
    </xf>
    <xf numFmtId="0" fontId="44" fillId="0" borderId="82" xfId="6" applyFont="1" applyFill="1" applyBorder="1" applyAlignment="1">
      <alignment horizontal="left" vertical="center" wrapText="1"/>
    </xf>
    <xf numFmtId="0" fontId="44" fillId="0" borderId="11" xfId="6" applyFont="1" applyFill="1" applyBorder="1" applyAlignment="1">
      <alignment horizontal="left" vertical="center" wrapText="1"/>
    </xf>
    <xf numFmtId="0" fontId="44" fillId="0" borderId="40" xfId="6" applyFont="1" applyFill="1" applyBorder="1" applyAlignment="1">
      <alignment horizontal="center" vertical="center" wrapText="1"/>
    </xf>
    <xf numFmtId="0" fontId="47" fillId="36" borderId="23" xfId="6" applyFont="1" applyFill="1" applyBorder="1" applyAlignment="1">
      <alignment horizontal="center" vertical="top" wrapText="1"/>
    </xf>
    <xf numFmtId="0" fontId="47" fillId="36" borderId="24" xfId="6" applyFont="1" applyFill="1" applyBorder="1" applyAlignment="1">
      <alignment horizontal="center" vertical="top" wrapText="1"/>
    </xf>
    <xf numFmtId="0" fontId="48" fillId="36" borderId="78" xfId="6" applyFont="1" applyFill="1" applyBorder="1" applyAlignment="1">
      <alignment horizontal="center"/>
    </xf>
    <xf numFmtId="0" fontId="48" fillId="36" borderId="67" xfId="6" applyFont="1" applyFill="1" applyBorder="1" applyAlignment="1">
      <alignment horizontal="center"/>
    </xf>
    <xf numFmtId="0" fontId="48" fillId="36" borderId="86" xfId="6" applyFont="1" applyFill="1" applyBorder="1" applyAlignment="1">
      <alignment horizontal="center"/>
    </xf>
    <xf numFmtId="0" fontId="47" fillId="36" borderId="7" xfId="6" applyFont="1" applyFill="1" applyBorder="1" applyAlignment="1">
      <alignment horizontal="center" vertical="top" wrapText="1"/>
    </xf>
    <xf numFmtId="0" fontId="47" fillId="36" borderId="8" xfId="6" applyFont="1" applyFill="1" applyBorder="1" applyAlignment="1">
      <alignment horizontal="center" vertical="top" wrapText="1"/>
    </xf>
    <xf numFmtId="0" fontId="47" fillId="36" borderId="9" xfId="6" applyFont="1" applyFill="1" applyBorder="1" applyAlignment="1">
      <alignment horizontal="center" vertical="top" wrapText="1"/>
    </xf>
    <xf numFmtId="0" fontId="47" fillId="36" borderId="84" xfId="6" applyFont="1" applyFill="1" applyBorder="1" applyAlignment="1">
      <alignment horizontal="center" vertical="top" wrapText="1"/>
    </xf>
    <xf numFmtId="0" fontId="47" fillId="36" borderId="51" xfId="6" applyFont="1" applyFill="1" applyBorder="1" applyAlignment="1">
      <alignment horizontal="center" vertical="top" wrapText="1"/>
    </xf>
    <xf numFmtId="0" fontId="47" fillId="36" borderId="85" xfId="6" applyFont="1" applyFill="1" applyBorder="1" applyAlignment="1">
      <alignment horizontal="center" vertical="top" wrapText="1"/>
    </xf>
    <xf numFmtId="0" fontId="47" fillId="36" borderId="95" xfId="6" applyFont="1" applyFill="1" applyBorder="1" applyAlignment="1">
      <alignment horizontal="left" vertical="top" wrapText="1"/>
    </xf>
    <xf numFmtId="0" fontId="47" fillId="36" borderId="28" xfId="6" applyFont="1" applyFill="1" applyBorder="1" applyAlignment="1">
      <alignment horizontal="left" vertical="top" wrapText="1"/>
    </xf>
    <xf numFmtId="0" fontId="47" fillId="36" borderId="96" xfId="6" applyFont="1" applyFill="1" applyBorder="1" applyAlignment="1">
      <alignment horizontal="left" vertical="top" wrapText="1"/>
    </xf>
    <xf numFmtId="0" fontId="47" fillId="36" borderId="97" xfId="6" applyFont="1" applyFill="1" applyBorder="1" applyAlignment="1">
      <alignment horizontal="center" vertical="top" wrapText="1"/>
    </xf>
    <xf numFmtId="0" fontId="47" fillId="36" borderId="55" xfId="6" applyFont="1" applyFill="1" applyBorder="1" applyAlignment="1">
      <alignment horizontal="center" vertical="top" wrapText="1"/>
    </xf>
    <xf numFmtId="0" fontId="47" fillId="36" borderId="26" xfId="6" applyFont="1" applyFill="1" applyBorder="1" applyAlignment="1">
      <alignment horizontal="center" vertical="top" wrapText="1"/>
    </xf>
    <xf numFmtId="0" fontId="47" fillId="36" borderId="30" xfId="6" applyFont="1" applyFill="1" applyBorder="1" applyAlignment="1">
      <alignment horizontal="center" vertical="top" wrapText="1"/>
    </xf>
    <xf numFmtId="0" fontId="47" fillId="36" borderId="77" xfId="6" applyFont="1" applyFill="1" applyBorder="1" applyAlignment="1">
      <alignment horizontal="center" vertical="top" wrapText="1"/>
    </xf>
    <xf numFmtId="0" fontId="47" fillId="36" borderId="78" xfId="6" applyFont="1" applyFill="1" applyBorder="1" applyAlignment="1">
      <alignment horizontal="center" vertical="top" wrapText="1"/>
    </xf>
    <xf numFmtId="0" fontId="45" fillId="0" borderId="77" xfId="6" applyFont="1" applyBorder="1" applyAlignment="1">
      <alignment horizontal="left" vertical="top" wrapText="1"/>
    </xf>
    <xf numFmtId="0" fontId="45" fillId="0" borderId="87" xfId="6" applyFont="1" applyBorder="1" applyAlignment="1">
      <alignment horizontal="left" vertical="top" wrapText="1"/>
    </xf>
    <xf numFmtId="0" fontId="45" fillId="0" borderId="78" xfId="6" applyFont="1" applyBorder="1" applyAlignment="1">
      <alignment horizontal="left" vertical="top" wrapText="1"/>
    </xf>
    <xf numFmtId="0" fontId="47" fillId="36" borderId="31" xfId="6" applyFont="1" applyFill="1" applyBorder="1" applyAlignment="1">
      <alignment horizontal="center" vertical="top" wrapText="1"/>
    </xf>
    <xf numFmtId="0" fontId="47" fillId="36" borderId="64" xfId="6" applyFont="1" applyFill="1" applyBorder="1" applyAlignment="1">
      <alignment horizontal="center" vertical="top" wrapText="1"/>
    </xf>
    <xf numFmtId="0" fontId="47" fillId="36" borderId="33" xfId="6" applyFont="1" applyFill="1" applyBorder="1" applyAlignment="1">
      <alignment horizontal="center" vertical="top" wrapText="1"/>
    </xf>
    <xf numFmtId="0" fontId="47" fillId="36" borderId="65" xfId="6" applyFont="1" applyFill="1" applyBorder="1" applyAlignment="1">
      <alignment horizontal="center" vertical="top" wrapText="1"/>
    </xf>
    <xf numFmtId="0" fontId="45" fillId="0" borderId="31" xfId="6" applyFont="1" applyBorder="1" applyAlignment="1">
      <alignment horizontal="left" vertical="top" wrapText="1"/>
    </xf>
    <xf numFmtId="0" fontId="45" fillId="0" borderId="38" xfId="6" applyFont="1" applyBorder="1" applyAlignment="1">
      <alignment horizontal="left" vertical="top"/>
    </xf>
    <xf numFmtId="0" fontId="45" fillId="0" borderId="64" xfId="6" applyFont="1" applyBorder="1" applyAlignment="1">
      <alignment horizontal="left" vertical="top"/>
    </xf>
    <xf numFmtId="0" fontId="45" fillId="0" borderId="33" xfId="6" applyFont="1" applyBorder="1" applyAlignment="1">
      <alignment horizontal="left" vertical="top"/>
    </xf>
    <xf numFmtId="0" fontId="45" fillId="0" borderId="49" xfId="6" applyFont="1" applyBorder="1" applyAlignment="1">
      <alignment horizontal="left" vertical="top"/>
    </xf>
    <xf numFmtId="0" fontId="45" fillId="0" borderId="65" xfId="6" applyFont="1" applyBorder="1" applyAlignment="1">
      <alignment horizontal="left" vertical="top"/>
    </xf>
    <xf numFmtId="165" fontId="44" fillId="0" borderId="43" xfId="6" applyNumberFormat="1" applyFont="1" applyFill="1" applyBorder="1" applyAlignment="1">
      <alignment horizontal="center" vertical="center" wrapText="1"/>
    </xf>
    <xf numFmtId="0" fontId="44" fillId="0" borderId="100" xfId="6" applyFont="1" applyFill="1" applyBorder="1" applyAlignment="1">
      <alignment horizontal="center" vertical="center" wrapText="1"/>
    </xf>
    <xf numFmtId="0" fontId="44" fillId="0" borderId="36" xfId="6" applyFont="1" applyFill="1" applyBorder="1" applyAlignment="1">
      <alignment horizontal="center" vertical="center" wrapText="1"/>
    </xf>
    <xf numFmtId="165" fontId="44" fillId="0" borderId="36" xfId="1" applyNumberFormat="1" applyFont="1" applyFill="1" applyBorder="1" applyAlignment="1">
      <alignment horizontal="center" vertical="center" wrapText="1"/>
    </xf>
    <xf numFmtId="165" fontId="44" fillId="0" borderId="38" xfId="1" applyNumberFormat="1" applyFont="1" applyFill="1" applyBorder="1" applyAlignment="1">
      <alignment horizontal="center" vertical="center" wrapText="1"/>
    </xf>
    <xf numFmtId="0" fontId="20" fillId="8" borderId="0" xfId="6" applyFont="1" applyFill="1" applyAlignment="1">
      <alignment vertical="top" wrapText="1"/>
    </xf>
    <xf numFmtId="0" fontId="44" fillId="8" borderId="0" xfId="6" applyFont="1" applyFill="1" applyAlignment="1">
      <alignment horizontal="left" vertical="top" wrapText="1"/>
    </xf>
    <xf numFmtId="0" fontId="0" fillId="0" borderId="31" xfId="0" applyBorder="1" applyAlignment="1">
      <alignment horizontal="center" wrapText="1"/>
    </xf>
    <xf numFmtId="0" fontId="0" fillId="0" borderId="64" xfId="0" applyBorder="1" applyAlignment="1">
      <alignment horizontal="center" wrapText="1"/>
    </xf>
    <xf numFmtId="0" fontId="0" fillId="3" borderId="0" xfId="0" applyFill="1" applyAlignment="1">
      <alignment horizontal="left" vertical="center" wrapText="1"/>
    </xf>
    <xf numFmtId="0" fontId="0" fillId="3" borderId="0" xfId="0" applyFill="1" applyAlignment="1">
      <alignment horizontal="left" wrapText="1"/>
    </xf>
    <xf numFmtId="0" fontId="15" fillId="11" borderId="0" xfId="0" applyFont="1" applyFill="1" applyAlignment="1">
      <alignment horizontal="left" vertical="center" wrapText="1"/>
    </xf>
    <xf numFmtId="0" fontId="15" fillId="11" borderId="0" xfId="0" applyFont="1" applyFill="1" applyAlignment="1">
      <alignment horizontal="left" vertical="center"/>
    </xf>
    <xf numFmtId="0" fontId="0" fillId="0" borderId="0" xfId="0" applyAlignment="1">
      <alignment vertical="center"/>
    </xf>
    <xf numFmtId="0" fontId="3" fillId="3" borderId="0" xfId="0" applyFont="1" applyFill="1" applyAlignment="1">
      <alignment horizontal="center" vertical="center" wrapText="1"/>
    </xf>
    <xf numFmtId="0" fontId="0" fillId="0" borderId="0" xfId="0" applyAlignment="1">
      <alignment vertical="center" wrapText="1"/>
    </xf>
    <xf numFmtId="1" fontId="0" fillId="0" borderId="0" xfId="0" applyNumberFormat="1" applyAlignment="1">
      <alignment horizontal="center" vertical="center"/>
    </xf>
    <xf numFmtId="0" fontId="0" fillId="0" borderId="102" xfId="0" applyBorder="1"/>
    <xf numFmtId="166" fontId="0" fillId="0" borderId="36" xfId="0" applyNumberFormat="1" applyBorder="1"/>
    <xf numFmtId="166" fontId="0" fillId="0" borderId="53" xfId="0" applyNumberFormat="1" applyBorder="1"/>
    <xf numFmtId="0" fontId="0" fillId="0" borderId="31" xfId="0" applyBorder="1"/>
    <xf numFmtId="0" fontId="0" fillId="0" borderId="38" xfId="0" applyBorder="1"/>
    <xf numFmtId="0" fontId="0" fillId="0" borderId="32" xfId="0" applyBorder="1"/>
    <xf numFmtId="9" fontId="0" fillId="0" borderId="36" xfId="2" applyFont="1" applyBorder="1"/>
    <xf numFmtId="0" fontId="0" fillId="3" borderId="103" xfId="0" applyFill="1" applyBorder="1" applyAlignment="1">
      <alignment horizontal="center"/>
    </xf>
    <xf numFmtId="0" fontId="0" fillId="3" borderId="67" xfId="0" applyFill="1" applyBorder="1" applyAlignment="1">
      <alignment horizontal="center"/>
    </xf>
    <xf numFmtId="0" fontId="0" fillId="3" borderId="86" xfId="0" applyFill="1" applyBorder="1" applyAlignment="1">
      <alignment horizontal="center"/>
    </xf>
    <xf numFmtId="166" fontId="0" fillId="0" borderId="0" xfId="0" applyNumberFormat="1" applyBorder="1" applyAlignment="1">
      <alignment horizontal="center"/>
    </xf>
    <xf numFmtId="166" fontId="0" fillId="0" borderId="31" xfId="0" applyNumberFormat="1" applyBorder="1" applyAlignment="1">
      <alignment wrapText="1"/>
    </xf>
    <xf numFmtId="0" fontId="0" fillId="0" borderId="31" xfId="0" applyBorder="1" applyAlignment="1">
      <alignment horizontal="center" vertical="center" wrapText="1"/>
    </xf>
    <xf numFmtId="0" fontId="0" fillId="0" borderId="64" xfId="0" applyBorder="1" applyAlignment="1">
      <alignment vertical="center"/>
    </xf>
    <xf numFmtId="0" fontId="0" fillId="0" borderId="31" xfId="0" applyBorder="1" applyAlignment="1">
      <alignment wrapText="1"/>
    </xf>
    <xf numFmtId="0" fontId="0" fillId="0" borderId="31" xfId="0" applyBorder="1" applyAlignment="1">
      <alignment horizontal="left" vertical="center" wrapText="1"/>
    </xf>
    <xf numFmtId="0" fontId="0" fillId="0" borderId="64" xfId="0" applyBorder="1" applyAlignment="1">
      <alignment horizontal="left" vertical="center" wrapText="1"/>
    </xf>
    <xf numFmtId="0" fontId="3" fillId="46" borderId="104" xfId="0" applyFont="1" applyFill="1" applyBorder="1" applyAlignment="1">
      <alignment horizontal="right"/>
    </xf>
    <xf numFmtId="0" fontId="3" fillId="46" borderId="57" xfId="0" applyFont="1" applyFill="1" applyBorder="1" applyAlignment="1">
      <alignment horizontal="right"/>
    </xf>
    <xf numFmtId="0" fontId="3" fillId="46" borderId="59" xfId="0" applyFont="1" applyFill="1" applyBorder="1" applyAlignment="1">
      <alignment horizontal="right"/>
    </xf>
    <xf numFmtId="166" fontId="3" fillId="46" borderId="49" xfId="0" applyNumberFormat="1" applyFont="1" applyFill="1" applyBorder="1"/>
    <xf numFmtId="0" fontId="3" fillId="46" borderId="33" xfId="0" applyFont="1" applyFill="1" applyBorder="1"/>
    <xf numFmtId="169" fontId="3" fillId="46" borderId="49" xfId="2" applyNumberFormat="1" applyFont="1" applyFill="1" applyBorder="1"/>
    <xf numFmtId="0" fontId="0" fillId="3" borderId="25" xfId="0" applyFill="1" applyBorder="1" applyAlignment="1">
      <alignment horizontal="center"/>
    </xf>
    <xf numFmtId="166" fontId="3" fillId="4" borderId="52" xfId="0" applyNumberFormat="1" applyFont="1" applyFill="1" applyBorder="1"/>
    <xf numFmtId="0" fontId="3" fillId="4" borderId="97" xfId="0" applyFont="1" applyFill="1" applyBorder="1" applyAlignment="1">
      <alignment horizontal="right" vertical="center"/>
    </xf>
    <xf numFmtId="0" fontId="3" fillId="4" borderId="8" xfId="0" applyFont="1" applyFill="1" applyBorder="1" applyAlignment="1">
      <alignment horizontal="right" vertical="center"/>
    </xf>
    <xf numFmtId="0" fontId="3" fillId="45" borderId="95" xfId="0" applyFont="1" applyFill="1" applyBorder="1" applyAlignment="1">
      <alignment horizontal="center"/>
    </xf>
    <xf numFmtId="0" fontId="3" fillId="45" borderId="29" xfId="0" applyFont="1" applyFill="1" applyBorder="1" applyAlignment="1">
      <alignment horizontal="center"/>
    </xf>
    <xf numFmtId="0" fontId="3" fillId="45" borderId="28" xfId="0" applyFont="1" applyFill="1" applyBorder="1" applyAlignment="1">
      <alignment horizontal="center"/>
    </xf>
    <xf numFmtId="166" fontId="0" fillId="0" borderId="47" xfId="0" applyNumberFormat="1" applyBorder="1"/>
    <xf numFmtId="166" fontId="0" fillId="0" borderId="64" xfId="0" applyNumberFormat="1" applyBorder="1"/>
    <xf numFmtId="0" fontId="3" fillId="45" borderId="23" xfId="0" applyFont="1" applyFill="1" applyBorder="1" applyAlignment="1">
      <alignment horizontal="center"/>
    </xf>
    <xf numFmtId="0" fontId="3" fillId="45" borderId="24" xfId="0" applyFont="1" applyFill="1" applyBorder="1" applyAlignment="1">
      <alignment horizontal="center"/>
    </xf>
    <xf numFmtId="166" fontId="0" fillId="0" borderId="31" xfId="0" applyNumberFormat="1" applyFill="1" applyBorder="1"/>
    <xf numFmtId="166" fontId="3" fillId="4" borderId="50" xfId="0" applyNumberFormat="1" applyFont="1" applyFill="1" applyBorder="1"/>
    <xf numFmtId="0" fontId="3" fillId="45" borderId="25" xfId="0" applyFont="1" applyFill="1" applyBorder="1" applyAlignment="1">
      <alignment horizontal="center"/>
    </xf>
    <xf numFmtId="166" fontId="3" fillId="4" borderId="39" xfId="0" applyNumberFormat="1" applyFont="1" applyFill="1" applyBorder="1"/>
    <xf numFmtId="166" fontId="3" fillId="4" borderId="72" xfId="0" applyNumberFormat="1" applyFont="1" applyFill="1" applyBorder="1"/>
    <xf numFmtId="0" fontId="0" fillId="3" borderId="8" xfId="0" applyFill="1" applyBorder="1" applyAlignment="1">
      <alignment horizontal="center"/>
    </xf>
    <xf numFmtId="0" fontId="0" fillId="3" borderId="97" xfId="0" applyFill="1" applyBorder="1" applyAlignment="1">
      <alignment horizontal="center"/>
    </xf>
    <xf numFmtId="0" fontId="0" fillId="3" borderId="55" xfId="0" applyFill="1" applyBorder="1" applyAlignment="1">
      <alignment horizontal="center"/>
    </xf>
    <xf numFmtId="0" fontId="0" fillId="3" borderId="32" xfId="0" applyFill="1" applyBorder="1" applyAlignment="1">
      <alignment horizontal="center"/>
    </xf>
    <xf numFmtId="0" fontId="0" fillId="3" borderId="97" xfId="0" applyFill="1" applyBorder="1"/>
    <xf numFmtId="0" fontId="0" fillId="3" borderId="55" xfId="0" applyFill="1" applyBorder="1"/>
    <xf numFmtId="166" fontId="0" fillId="0" borderId="64" xfId="0" applyNumberFormat="1" applyFill="1" applyBorder="1"/>
    <xf numFmtId="0" fontId="64" fillId="0" borderId="0" xfId="0" applyFont="1"/>
    <xf numFmtId="166" fontId="0" fillId="0" borderId="60" xfId="0" applyNumberFormat="1" applyBorder="1"/>
    <xf numFmtId="0" fontId="3" fillId="45" borderId="103" xfId="0" applyFont="1" applyFill="1" applyBorder="1" applyAlignment="1">
      <alignment horizontal="center"/>
    </xf>
    <xf numFmtId="0" fontId="3" fillId="45" borderId="67" xfId="0" applyFont="1" applyFill="1" applyBorder="1" applyAlignment="1">
      <alignment horizontal="center"/>
    </xf>
    <xf numFmtId="0" fontId="3" fillId="45" borderId="86" xfId="0" applyFont="1" applyFill="1" applyBorder="1" applyAlignment="1">
      <alignment horizontal="center"/>
    </xf>
    <xf numFmtId="0" fontId="62" fillId="4" borderId="50" xfId="0" applyFont="1" applyFill="1" applyBorder="1"/>
    <xf numFmtId="0" fontId="62" fillId="4" borderId="51" xfId="0" applyFont="1" applyFill="1" applyBorder="1"/>
    <xf numFmtId="0" fontId="0" fillId="0" borderId="32" xfId="0" applyBorder="1" applyAlignment="1">
      <alignment horizontal="center" wrapText="1"/>
    </xf>
    <xf numFmtId="0" fontId="3" fillId="4" borderId="104" xfId="0" applyFont="1" applyFill="1" applyBorder="1" applyAlignment="1">
      <alignment horizontal="right" vertical="center"/>
    </xf>
    <xf numFmtId="0" fontId="3" fillId="4" borderId="54" xfId="0" applyFont="1" applyFill="1" applyBorder="1" applyAlignment="1">
      <alignment horizontal="right" vertical="center"/>
    </xf>
    <xf numFmtId="0" fontId="24" fillId="47" borderId="23" xfId="0" applyFont="1" applyFill="1" applyBorder="1" applyAlignment="1">
      <alignment horizontal="center" vertical="center"/>
    </xf>
    <xf numFmtId="0" fontId="24" fillId="47" borderId="25" xfId="0" applyFont="1" applyFill="1" applyBorder="1" applyAlignment="1">
      <alignment horizontal="center" vertical="center"/>
    </xf>
    <xf numFmtId="0" fontId="24" fillId="47" borderId="98" xfId="0" applyFont="1" applyFill="1" applyBorder="1" applyAlignment="1">
      <alignment horizontal="center" vertical="center"/>
    </xf>
    <xf numFmtId="0" fontId="24" fillId="47" borderId="79" xfId="0" applyFont="1" applyFill="1" applyBorder="1" applyAlignment="1">
      <alignment horizontal="center" vertical="center"/>
    </xf>
    <xf numFmtId="6" fontId="3" fillId="0" borderId="0" xfId="0" applyNumberFormat="1" applyFont="1" applyFill="1"/>
    <xf numFmtId="169" fontId="58" fillId="4" borderId="51" xfId="2" applyNumberFormat="1" applyFont="1" applyFill="1" applyBorder="1"/>
    <xf numFmtId="0" fontId="0" fillId="3" borderId="46" xfId="0" applyFill="1" applyBorder="1" applyAlignment="1">
      <alignment horizontal="center"/>
    </xf>
    <xf numFmtId="166" fontId="3" fillId="4" borderId="41" xfId="0" applyNumberFormat="1" applyFont="1" applyFill="1" applyBorder="1"/>
    <xf numFmtId="166" fontId="3" fillId="4" borderId="40" xfId="0" applyNumberFormat="1" applyFont="1" applyFill="1" applyBorder="1"/>
    <xf numFmtId="0" fontId="0" fillId="3" borderId="45" xfId="0" applyFill="1" applyBorder="1" applyAlignment="1">
      <alignment horizontal="center"/>
    </xf>
    <xf numFmtId="0" fontId="0" fillId="3" borderId="35" xfId="0" applyFill="1" applyBorder="1" applyAlignment="1">
      <alignment horizontal="center"/>
    </xf>
    <xf numFmtId="0" fontId="0" fillId="3" borderId="45" xfId="0" applyFill="1" applyBorder="1"/>
    <xf numFmtId="0" fontId="0" fillId="3" borderId="35" xfId="0" applyFill="1" applyBorder="1"/>
    <xf numFmtId="0" fontId="3" fillId="45" borderId="77" xfId="0" applyFont="1" applyFill="1" applyBorder="1" applyAlignment="1">
      <alignment horizontal="center"/>
    </xf>
    <xf numFmtId="0" fontId="3" fillId="45" borderId="87" xfId="0" applyFont="1" applyFill="1" applyBorder="1" applyAlignment="1">
      <alignment horizontal="center"/>
    </xf>
    <xf numFmtId="0" fontId="3" fillId="45" borderId="105" xfId="0" applyFont="1" applyFill="1" applyBorder="1" applyAlignment="1">
      <alignment horizontal="center"/>
    </xf>
  </cellXfs>
  <cellStyles count="48">
    <cellStyle name="20% - Accent1 2" xfId="7" xr:uid="{6FA044A6-FAAB-4C39-B729-265140741EFD}"/>
    <cellStyle name="20% - Accent2 2" xfId="8" xr:uid="{8C9C5ABF-7828-4599-B379-4D47057B35C3}"/>
    <cellStyle name="20% - Accent3 2" xfId="9" xr:uid="{75599FEA-8FFA-416E-8B1B-3B9B9204AB6F}"/>
    <cellStyle name="20% - Accent4 2" xfId="10" xr:uid="{40349357-FC78-453D-89F7-0CE2C0D43F17}"/>
    <cellStyle name="20% - Accent5 2" xfId="11" xr:uid="{05CCF587-ED2D-4ECD-8F90-5B5D8F25AF17}"/>
    <cellStyle name="20% - Accent6 2" xfId="12" xr:uid="{4EBA5D53-AA92-4508-950A-59CA0E51501A}"/>
    <cellStyle name="40% - Accent1 2" xfId="13" xr:uid="{82F98E6D-6EC0-48BD-BC52-395577868EF4}"/>
    <cellStyle name="40% - Accent2 2" xfId="14" xr:uid="{F7174A0C-973B-4E6C-B290-CD8EDE73D656}"/>
    <cellStyle name="40% - Accent3 2" xfId="15" xr:uid="{0D8586CB-916F-4588-BEDA-62FC50EE1D8E}"/>
    <cellStyle name="40% - Accent4 2" xfId="16" xr:uid="{AB951884-E4BE-4D5D-81AE-BC6F61D8634C}"/>
    <cellStyle name="40% - Accent5 2" xfId="17" xr:uid="{85DD2898-74C8-4FC6-8BEA-878505C83BE8}"/>
    <cellStyle name="40% - Accent6 2" xfId="18" xr:uid="{3DB4BEA4-D341-4692-A1FA-822CD89AC207}"/>
    <cellStyle name="60% - Accent1 2" xfId="19" xr:uid="{95CE39D0-FAD4-4329-BA20-86CCE5CBF523}"/>
    <cellStyle name="60% - Accent2 2" xfId="20" xr:uid="{69098D59-BF47-4A27-9272-61615F77EA4D}"/>
    <cellStyle name="60% - Accent3 2" xfId="21" xr:uid="{0AE76C8E-A19A-4C39-8ECA-5C33F2FD8FC2}"/>
    <cellStyle name="60% - Accent4 2" xfId="22" xr:uid="{6E61D86F-AEF4-49ED-AC30-95BAB9CB19FC}"/>
    <cellStyle name="60% - Accent5 2" xfId="23" xr:uid="{9392FADB-629E-4425-92B9-FD06A802B59A}"/>
    <cellStyle name="60% - Accent6 2" xfId="24" xr:uid="{EC2D7CFD-B00A-4CAD-BBC5-EDAA646A052D}"/>
    <cellStyle name="Accent1 2" xfId="25" xr:uid="{9904A086-A097-48A5-8ED5-64EBAD5E1072}"/>
    <cellStyle name="Accent2 2" xfId="26" xr:uid="{ED57C8B9-92DB-4C37-B926-4BA45C56FCEE}"/>
    <cellStyle name="Accent3 2" xfId="27" xr:uid="{39957F6D-F07F-439D-835F-858420894F92}"/>
    <cellStyle name="Accent4 2" xfId="28" xr:uid="{D1DF531B-573F-4FEB-A783-1E1C96F4FC6C}"/>
    <cellStyle name="Accent5 2" xfId="29" xr:uid="{80F00CDC-72BC-4F59-8F6B-8C329C21161E}"/>
    <cellStyle name="Accent6 2" xfId="30" xr:uid="{D026D78A-E46C-41D0-B492-CA9409763F47}"/>
    <cellStyle name="Bad" xfId="3" builtinId="27"/>
    <cellStyle name="Bad 2" xfId="31" xr:uid="{02A41FA3-513B-464D-B50E-750DD17EF9EA}"/>
    <cellStyle name="Calculation 2" xfId="32" xr:uid="{1DABEDEF-7382-457D-A497-C6ED2A787382}"/>
    <cellStyle name="Check Cell 2" xfId="33" xr:uid="{C470EF94-F8DB-4390-B3E6-C14194601CC9}"/>
    <cellStyle name="Comma" xfId="1" builtinId="3"/>
    <cellStyle name="Explanatory Text 2" xfId="34" xr:uid="{929C8B5F-BFC2-4DBF-AE3C-A4DD31A9845B}"/>
    <cellStyle name="Good 2" xfId="35" xr:uid="{B0A78509-8D3C-4805-8B0C-3A2E51C53EE8}"/>
    <cellStyle name="Heading 1 2" xfId="36" xr:uid="{C7657C50-FDA4-4B29-8AAE-BEC6743455C9}"/>
    <cellStyle name="Heading 2 2" xfId="37" xr:uid="{91672FF1-23B8-4FA1-838B-17B799787F92}"/>
    <cellStyle name="Heading 3 2" xfId="38" xr:uid="{819BDD81-59B8-43DE-A080-F387343C9509}"/>
    <cellStyle name="Heading 4 2" xfId="39" xr:uid="{D9176BE0-AA0A-4595-A98F-EC1E776FFA89}"/>
    <cellStyle name="Hyperlink" xfId="4" builtinId="8"/>
    <cellStyle name="Input 2" xfId="40" xr:uid="{6BF2D275-23E0-445A-915C-E078E2BA2A2C}"/>
    <cellStyle name="Linked Cell 2" xfId="41" xr:uid="{6ADC1652-DEF8-402A-879F-B52C58A30A29}"/>
    <cellStyle name="Neutral 2" xfId="42" xr:uid="{37225CF2-85B5-41C4-A24C-494487BBDD51}"/>
    <cellStyle name="Normal" xfId="0" builtinId="0"/>
    <cellStyle name="Normal 2" xfId="6" xr:uid="{38AC2187-FF56-4606-9DEA-A103DA1683D8}"/>
    <cellStyle name="Note 2" xfId="43" xr:uid="{C9038422-2FD6-4D48-BF9D-6C336D1722C3}"/>
    <cellStyle name="Output 2" xfId="44" xr:uid="{FBE62620-321D-4AB7-A01E-3DE9B3D05CFB}"/>
    <cellStyle name="Percent" xfId="2" builtinId="5"/>
    <cellStyle name="Style 1" xfId="5" xr:uid="{2672B413-A1D9-41A7-B389-3C487EED5DF8}"/>
    <cellStyle name="Title 2" xfId="45" xr:uid="{4B6D9231-780C-456E-8B76-C57BE71CFD76}"/>
    <cellStyle name="Total 2" xfId="46" xr:uid="{DC469615-8919-448C-B0A8-50299A59C5D4}"/>
    <cellStyle name="Warning Text 2" xfId="47" xr:uid="{FBDDF835-0675-4EBD-B631-A536125855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83</xdr:row>
      <xdr:rowOff>-1</xdr:rowOff>
    </xdr:from>
    <xdr:to>
      <xdr:col>6</xdr:col>
      <xdr:colOff>420760</xdr:colOff>
      <xdr:row>98</xdr:row>
      <xdr:rowOff>41769</xdr:rowOff>
    </xdr:to>
    <xdr:pic>
      <xdr:nvPicPr>
        <xdr:cNvPr id="5" name="Picture 4">
          <a:extLst>
            <a:ext uri="{FF2B5EF4-FFF2-40B4-BE49-F238E27FC236}">
              <a16:creationId xmlns:a16="http://schemas.microsoft.com/office/drawing/2014/main" id="{4AB87292-9231-4065-A57E-7BAB1FEFAF6C}"/>
            </a:ext>
          </a:extLst>
        </xdr:cNvPr>
        <xdr:cNvPicPr>
          <a:picLocks noChangeAspect="1"/>
        </xdr:cNvPicPr>
      </xdr:nvPicPr>
      <xdr:blipFill>
        <a:blip xmlns:r="http://schemas.openxmlformats.org/officeDocument/2006/relationships" r:embed="rId1"/>
        <a:stretch>
          <a:fillRect/>
        </a:stretch>
      </xdr:blipFill>
      <xdr:spPr>
        <a:xfrm>
          <a:off x="6599464" y="14532428"/>
          <a:ext cx="3453248" cy="2710402"/>
        </a:xfrm>
        <a:prstGeom prst="rect">
          <a:avLst/>
        </a:prstGeom>
      </xdr:spPr>
    </xdr:pic>
    <xdr:clientData/>
  </xdr:twoCellAnchor>
  <xdr:twoCellAnchor editAs="oneCell">
    <xdr:from>
      <xdr:col>3</xdr:col>
      <xdr:colOff>0</xdr:colOff>
      <xdr:row>129</xdr:row>
      <xdr:rowOff>0</xdr:rowOff>
    </xdr:from>
    <xdr:to>
      <xdr:col>6</xdr:col>
      <xdr:colOff>418311</xdr:colOff>
      <xdr:row>144</xdr:row>
      <xdr:rowOff>494</xdr:rowOff>
    </xdr:to>
    <xdr:pic>
      <xdr:nvPicPr>
        <xdr:cNvPr id="2" name="Picture 1">
          <a:extLst>
            <a:ext uri="{FF2B5EF4-FFF2-40B4-BE49-F238E27FC236}">
              <a16:creationId xmlns:a16="http://schemas.microsoft.com/office/drawing/2014/main" id="{ED946022-81AC-456B-86B4-74FE6530F36E}"/>
            </a:ext>
          </a:extLst>
        </xdr:cNvPr>
        <xdr:cNvPicPr>
          <a:picLocks noChangeAspect="1"/>
        </xdr:cNvPicPr>
      </xdr:nvPicPr>
      <xdr:blipFill>
        <a:blip xmlns:r="http://schemas.openxmlformats.org/officeDocument/2006/relationships" r:embed="rId2"/>
        <a:stretch>
          <a:fillRect/>
        </a:stretch>
      </xdr:blipFill>
      <xdr:spPr>
        <a:xfrm>
          <a:off x="6607629" y="23709086"/>
          <a:ext cx="3444539" cy="2767824"/>
        </a:xfrm>
        <a:prstGeom prst="rect">
          <a:avLst/>
        </a:prstGeom>
      </xdr:spPr>
    </xdr:pic>
    <xdr:clientData/>
  </xdr:twoCellAnchor>
  <xdr:twoCellAnchor editAs="oneCell">
    <xdr:from>
      <xdr:col>3</xdr:col>
      <xdr:colOff>0</xdr:colOff>
      <xdr:row>106</xdr:row>
      <xdr:rowOff>0</xdr:rowOff>
    </xdr:from>
    <xdr:to>
      <xdr:col>6</xdr:col>
      <xdr:colOff>418311</xdr:colOff>
      <xdr:row>121</xdr:row>
      <xdr:rowOff>494</xdr:rowOff>
    </xdr:to>
    <xdr:pic>
      <xdr:nvPicPr>
        <xdr:cNvPr id="7" name="Picture 6">
          <a:extLst>
            <a:ext uri="{FF2B5EF4-FFF2-40B4-BE49-F238E27FC236}">
              <a16:creationId xmlns:a16="http://schemas.microsoft.com/office/drawing/2014/main" id="{85CC9A3E-F132-4E5B-BBA9-004DC65B984A}"/>
            </a:ext>
          </a:extLst>
        </xdr:cNvPr>
        <xdr:cNvPicPr>
          <a:picLocks noChangeAspect="1"/>
        </xdr:cNvPicPr>
      </xdr:nvPicPr>
      <xdr:blipFill>
        <a:blip xmlns:r="http://schemas.openxmlformats.org/officeDocument/2006/relationships" r:embed="rId3"/>
        <a:stretch>
          <a:fillRect/>
        </a:stretch>
      </xdr:blipFill>
      <xdr:spPr>
        <a:xfrm>
          <a:off x="6607629" y="19452771"/>
          <a:ext cx="3444539" cy="2767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83</xdr:row>
      <xdr:rowOff>0</xdr:rowOff>
    </xdr:from>
    <xdr:to>
      <xdr:col>6</xdr:col>
      <xdr:colOff>536957</xdr:colOff>
      <xdr:row>97</xdr:row>
      <xdr:rowOff>149562</xdr:rowOff>
    </xdr:to>
    <xdr:pic>
      <xdr:nvPicPr>
        <xdr:cNvPr id="7" name="Picture 6">
          <a:extLst>
            <a:ext uri="{FF2B5EF4-FFF2-40B4-BE49-F238E27FC236}">
              <a16:creationId xmlns:a16="http://schemas.microsoft.com/office/drawing/2014/main" id="{6909F68E-6F68-442C-8167-1A2460F14FAB}"/>
            </a:ext>
          </a:extLst>
        </xdr:cNvPr>
        <xdr:cNvPicPr>
          <a:picLocks noChangeAspect="1"/>
        </xdr:cNvPicPr>
      </xdr:nvPicPr>
      <xdr:blipFill>
        <a:blip xmlns:r="http://schemas.openxmlformats.org/officeDocument/2006/relationships" r:embed="rId1"/>
        <a:stretch>
          <a:fillRect/>
        </a:stretch>
      </xdr:blipFill>
      <xdr:spPr>
        <a:xfrm>
          <a:off x="6606540" y="15026640"/>
          <a:ext cx="3440177" cy="2709882"/>
        </a:xfrm>
        <a:prstGeom prst="rect">
          <a:avLst/>
        </a:prstGeom>
      </xdr:spPr>
    </xdr:pic>
    <xdr:clientData/>
  </xdr:twoCellAnchor>
  <xdr:twoCellAnchor editAs="oneCell">
    <xdr:from>
      <xdr:col>3</xdr:col>
      <xdr:colOff>0</xdr:colOff>
      <xdr:row>106</xdr:row>
      <xdr:rowOff>0</xdr:rowOff>
    </xdr:from>
    <xdr:to>
      <xdr:col>6</xdr:col>
      <xdr:colOff>535985</xdr:colOff>
      <xdr:row>121</xdr:row>
      <xdr:rowOff>34784</xdr:rowOff>
    </xdr:to>
    <xdr:pic>
      <xdr:nvPicPr>
        <xdr:cNvPr id="2" name="Picture 1">
          <a:extLst>
            <a:ext uri="{FF2B5EF4-FFF2-40B4-BE49-F238E27FC236}">
              <a16:creationId xmlns:a16="http://schemas.microsoft.com/office/drawing/2014/main" id="{FF2DAE12-5A7B-4E75-9969-6925CBAC0088}"/>
            </a:ext>
          </a:extLst>
        </xdr:cNvPr>
        <xdr:cNvPicPr>
          <a:picLocks noChangeAspect="1"/>
        </xdr:cNvPicPr>
      </xdr:nvPicPr>
      <xdr:blipFill>
        <a:blip xmlns:r="http://schemas.openxmlformats.org/officeDocument/2006/relationships" r:embed="rId2"/>
        <a:stretch>
          <a:fillRect/>
        </a:stretch>
      </xdr:blipFill>
      <xdr:spPr>
        <a:xfrm>
          <a:off x="6606540" y="19225260"/>
          <a:ext cx="3450635" cy="2767824"/>
        </a:xfrm>
        <a:prstGeom prst="rect">
          <a:avLst/>
        </a:prstGeom>
      </xdr:spPr>
    </xdr:pic>
    <xdr:clientData/>
  </xdr:twoCellAnchor>
  <xdr:twoCellAnchor editAs="oneCell">
    <xdr:from>
      <xdr:col>3</xdr:col>
      <xdr:colOff>0</xdr:colOff>
      <xdr:row>129</xdr:row>
      <xdr:rowOff>0</xdr:rowOff>
    </xdr:from>
    <xdr:to>
      <xdr:col>6</xdr:col>
      <xdr:colOff>536239</xdr:colOff>
      <xdr:row>144</xdr:row>
      <xdr:rowOff>34784</xdr:rowOff>
    </xdr:to>
    <xdr:pic>
      <xdr:nvPicPr>
        <xdr:cNvPr id="3" name="Picture 2">
          <a:extLst>
            <a:ext uri="{FF2B5EF4-FFF2-40B4-BE49-F238E27FC236}">
              <a16:creationId xmlns:a16="http://schemas.microsoft.com/office/drawing/2014/main" id="{4CE5F7F2-0CA7-4AFC-90D5-590C7B7E5DF7}"/>
            </a:ext>
          </a:extLst>
        </xdr:cNvPr>
        <xdr:cNvPicPr>
          <a:picLocks noChangeAspect="1"/>
        </xdr:cNvPicPr>
      </xdr:nvPicPr>
      <xdr:blipFill>
        <a:blip xmlns:r="http://schemas.openxmlformats.org/officeDocument/2006/relationships" r:embed="rId3"/>
        <a:stretch>
          <a:fillRect/>
        </a:stretch>
      </xdr:blipFill>
      <xdr:spPr>
        <a:xfrm>
          <a:off x="6606540" y="23431500"/>
          <a:ext cx="3444539" cy="27678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HG_Workbook_NCC_LUF_EV-charge-points.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AMATs/AMAT_School%20Streets_Core%20Scenario_150621.xlsx?E758F28E" TargetMode="External"/><Relationship Id="rId1" Type="http://schemas.openxmlformats.org/officeDocument/2006/relationships/externalLinkPath" Target="file:///\\E758F28E\AMAT_School%20Streets_Core%20Scenario_1506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puts"/>
      <sheetName val="Calculations - non-traded"/>
      <sheetName val="Calculations - traded"/>
      <sheetName val="Output - worksheet 1"/>
    </sheetNames>
    <sheetDataSet>
      <sheetData sheetId="0" refreshError="1"/>
      <sheetData sheetId="1">
        <row r="6">
          <cell r="D6" t="str">
            <v>Nottingham_LUF_EV_charging</v>
          </cell>
        </row>
        <row r="7">
          <cell r="D7">
            <v>2022</v>
          </cell>
        </row>
        <row r="8">
          <cell r="D8" t="str">
            <v>road</v>
          </cell>
        </row>
      </sheetData>
      <sheetData sheetId="2">
        <row r="42">
          <cell r="C42">
            <v>-25680</v>
          </cell>
        </row>
        <row r="46">
          <cell r="C46">
            <v>-25680</v>
          </cell>
        </row>
        <row r="47">
          <cell r="C47">
            <v>-1284</v>
          </cell>
        </row>
        <row r="67">
          <cell r="C67">
            <v>0</v>
          </cell>
        </row>
        <row r="68">
          <cell r="C68">
            <v>0</v>
          </cell>
        </row>
        <row r="69">
          <cell r="C69">
            <v>-1284</v>
          </cell>
        </row>
        <row r="70">
          <cell r="C70">
            <v>-6420</v>
          </cell>
        </row>
        <row r="73">
          <cell r="C73">
            <v>0</v>
          </cell>
        </row>
        <row r="74">
          <cell r="C74">
            <v>0</v>
          </cell>
        </row>
        <row r="75">
          <cell r="C75">
            <v>0</v>
          </cell>
        </row>
        <row r="76">
          <cell r="C76">
            <v>0</v>
          </cell>
        </row>
        <row r="109">
          <cell r="C109">
            <v>2021</v>
          </cell>
        </row>
        <row r="110">
          <cell r="C110">
            <v>2010</v>
          </cell>
        </row>
        <row r="137">
          <cell r="C137">
            <v>0</v>
          </cell>
        </row>
        <row r="138">
          <cell r="C138">
            <v>0</v>
          </cell>
        </row>
        <row r="139">
          <cell r="C139">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uidance"/>
      <sheetName val="Inputs&gt;&gt;"/>
      <sheetName val="Area Lookup"/>
      <sheetName val="User Interface Intervention"/>
      <sheetName val="User Interface Costs"/>
      <sheetName val="Input Summary"/>
      <sheetName val="Cost Inputs Summary"/>
      <sheetName val="TAG Growth"/>
      <sheetName val="TAG VoT"/>
      <sheetName val="TAG External Costs"/>
      <sheetName val="TAG Journey Quality"/>
      <sheetName val="Health Assumptions"/>
      <sheetName val="General Calculations"/>
      <sheetName val="Absenteeism"/>
      <sheetName val="Journey Ambience"/>
      <sheetName val="Health Calculations"/>
      <sheetName val="Decongestion"/>
      <sheetName val="Discounting"/>
      <sheetName val="Outputs&gt;&gt;"/>
      <sheetName val="Analysis of Cost and Benef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8">
          <cell r="I18" t="str">
            <v>Off-road segregated cycle track</v>
          </cell>
        </row>
        <row r="19">
          <cell r="I19" t="str">
            <v>On-road segregated cycle lane</v>
          </cell>
        </row>
        <row r="20">
          <cell r="I20" t="str">
            <v>On-road non-segregated cycle lane</v>
          </cell>
        </row>
        <row r="21">
          <cell r="I21" t="str">
            <v>Wider lane</v>
          </cell>
        </row>
        <row r="22">
          <cell r="I22" t="str">
            <v>Shared bus lane</v>
          </cell>
        </row>
        <row r="23">
          <cell r="I23" t="str">
            <v>No provision</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compare-school-performance.service.gov.uk/schools-by-type?step=phase&amp;region=892&amp;geographic=la&amp;page=2&amp;phase=all&amp;For=abspop&amp;BasedOn=Pupil+population"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assets.publishing.service.gov.uk/government/uploads/system/uploads/attachment_data/file/940964/tag-a1-2-cost-estimation.pdf" TargetMode="External"/><Relationship Id="rId1" Type="http://schemas.openxmlformats.org/officeDocument/2006/relationships/hyperlink" Target="https://www.gov.uk/government/publications/greenhouse-gas-reporting-conversion-factors-2021"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newmotion.com/en/knowledge-center/news-and-updates/the-electric-range-of-an-ev" TargetMode="External"/><Relationship Id="rId1" Type="http://schemas.openxmlformats.org/officeDocument/2006/relationships/hyperlink" Target="https://www.gov.uk/government/publications/greenhouse-gas-reporting-conversion-factors-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V50"/>
  <sheetViews>
    <sheetView tabSelected="1" workbookViewId="0"/>
  </sheetViews>
  <sheetFormatPr defaultRowHeight="14.4"/>
  <cols>
    <col min="2" max="2" width="15.6640625" customWidth="1"/>
    <col min="3" max="3" width="39.77734375" customWidth="1"/>
    <col min="9" max="9" width="9.77734375" bestFit="1" customWidth="1"/>
    <col min="11" max="11" width="21.6640625" customWidth="1"/>
    <col min="12" max="12" width="13.44140625" bestFit="1" customWidth="1"/>
    <col min="13" max="13" width="41.21875" customWidth="1"/>
    <col min="16" max="16" width="8.88671875" style="302"/>
    <col min="19" max="19" width="15.6640625" customWidth="1"/>
    <col min="20" max="20" width="39.77734375" customWidth="1"/>
    <col min="26" max="26" width="9.77734375" bestFit="1" customWidth="1"/>
    <col min="28" max="28" width="21.6640625" customWidth="1"/>
    <col min="29" max="29" width="13.44140625" bestFit="1" customWidth="1"/>
    <col min="30" max="30" width="41.21875" customWidth="1"/>
    <col min="33" max="33" width="8.88671875" style="302"/>
    <col min="36" max="36" width="15.6640625" customWidth="1"/>
    <col min="37" max="37" width="39.77734375" customWidth="1"/>
    <col min="43" max="43" width="9.77734375" bestFit="1" customWidth="1"/>
    <col min="45" max="45" width="21.6640625" customWidth="1"/>
    <col min="46" max="46" width="12.77734375" bestFit="1" customWidth="1"/>
    <col min="47" max="47" width="41.21875" customWidth="1"/>
  </cols>
  <sheetData>
    <row r="2" spans="1:48" s="304" customFormat="1">
      <c r="A2" s="303" t="s">
        <v>468</v>
      </c>
      <c r="C2" s="303" t="s">
        <v>475</v>
      </c>
      <c r="R2" s="303" t="s">
        <v>466</v>
      </c>
      <c r="T2" s="303" t="s">
        <v>467</v>
      </c>
      <c r="AI2" s="303" t="s">
        <v>476</v>
      </c>
      <c r="AK2" s="303" t="s">
        <v>477</v>
      </c>
    </row>
    <row r="3" spans="1:48" ht="15" thickBot="1"/>
    <row r="4" spans="1:48" ht="15" thickBot="1">
      <c r="A4" s="212"/>
      <c r="B4" s="213"/>
      <c r="C4" s="213"/>
      <c r="D4" s="213"/>
      <c r="E4" s="213"/>
      <c r="F4" s="213"/>
      <c r="G4" s="213"/>
      <c r="H4" s="213"/>
      <c r="I4" s="213"/>
      <c r="J4" s="213"/>
      <c r="K4" s="213"/>
      <c r="L4" s="213"/>
      <c r="M4" s="213"/>
      <c r="N4" s="214"/>
      <c r="R4" s="212"/>
      <c r="S4" s="213"/>
      <c r="T4" s="213"/>
      <c r="U4" s="213"/>
      <c r="V4" s="213"/>
      <c r="W4" s="213"/>
      <c r="X4" s="213"/>
      <c r="Y4" s="213"/>
      <c r="Z4" s="213"/>
      <c r="AA4" s="213"/>
      <c r="AB4" s="213"/>
      <c r="AC4" s="213"/>
      <c r="AD4" s="213"/>
      <c r="AE4" s="214"/>
      <c r="AI4" s="212"/>
      <c r="AJ4" s="213"/>
      <c r="AK4" s="213"/>
      <c r="AL4" s="213"/>
      <c r="AM4" s="213"/>
      <c r="AN4" s="213"/>
      <c r="AO4" s="213"/>
      <c r="AP4" s="213"/>
      <c r="AQ4" s="213"/>
      <c r="AR4" s="213"/>
      <c r="AS4" s="213"/>
      <c r="AT4" s="213"/>
      <c r="AU4" s="213"/>
      <c r="AV4" s="214"/>
    </row>
    <row r="5" spans="1:48" ht="15" thickBot="1">
      <c r="A5" s="217" t="s">
        <v>254</v>
      </c>
      <c r="B5" s="218"/>
      <c r="C5" s="219"/>
      <c r="D5" s="455" t="s">
        <v>255</v>
      </c>
      <c r="E5" s="456"/>
      <c r="F5" s="457"/>
      <c r="G5" s="211">
        <v>44348</v>
      </c>
      <c r="H5" s="145"/>
      <c r="I5" s="146"/>
      <c r="J5" s="149"/>
      <c r="K5" s="149"/>
      <c r="L5" s="458" t="s">
        <v>256</v>
      </c>
      <c r="M5" s="459"/>
      <c r="N5" s="148"/>
      <c r="R5" s="217" t="s">
        <v>254</v>
      </c>
      <c r="S5" s="218"/>
      <c r="T5" s="219"/>
      <c r="U5" s="455" t="s">
        <v>255</v>
      </c>
      <c r="V5" s="456"/>
      <c r="W5" s="457"/>
      <c r="X5" s="211">
        <v>44348</v>
      </c>
      <c r="Y5" s="145"/>
      <c r="Z5" s="146"/>
      <c r="AA5" s="149"/>
      <c r="AB5" s="149"/>
      <c r="AC5" s="458" t="s">
        <v>256</v>
      </c>
      <c r="AD5" s="459"/>
      <c r="AE5" s="148"/>
      <c r="AI5" s="217" t="s">
        <v>254</v>
      </c>
      <c r="AJ5" s="218"/>
      <c r="AK5" s="219"/>
      <c r="AL5" s="455" t="s">
        <v>255</v>
      </c>
      <c r="AM5" s="456"/>
      <c r="AN5" s="457"/>
      <c r="AO5" s="211">
        <v>44348</v>
      </c>
      <c r="AP5" s="145"/>
      <c r="AQ5" s="146"/>
      <c r="AR5" s="149"/>
      <c r="AS5" s="149"/>
      <c r="AT5" s="458" t="s">
        <v>256</v>
      </c>
      <c r="AU5" s="459"/>
      <c r="AV5" s="148"/>
    </row>
    <row r="6" spans="1:48" ht="15" thickBot="1">
      <c r="A6" s="215"/>
      <c r="B6" s="143"/>
      <c r="C6" s="144"/>
      <c r="D6" s="144"/>
      <c r="E6" s="144"/>
      <c r="F6" s="144"/>
      <c r="G6" s="144"/>
      <c r="H6" s="144"/>
      <c r="I6" s="144"/>
      <c r="J6" s="144"/>
      <c r="K6" s="144"/>
      <c r="L6" s="460"/>
      <c r="M6" s="461"/>
      <c r="N6" s="151"/>
      <c r="R6" s="215"/>
      <c r="S6" s="143"/>
      <c r="T6" s="144"/>
      <c r="U6" s="144"/>
      <c r="V6" s="144"/>
      <c r="W6" s="144"/>
      <c r="X6" s="144"/>
      <c r="Y6" s="144"/>
      <c r="Z6" s="144"/>
      <c r="AA6" s="144"/>
      <c r="AB6" s="144"/>
      <c r="AC6" s="460"/>
      <c r="AD6" s="461"/>
      <c r="AE6" s="151"/>
      <c r="AI6" s="215"/>
      <c r="AJ6" s="143"/>
      <c r="AK6" s="144"/>
      <c r="AL6" s="144"/>
      <c r="AM6" s="144"/>
      <c r="AN6" s="144"/>
      <c r="AO6" s="144"/>
      <c r="AP6" s="144"/>
      <c r="AQ6" s="144"/>
      <c r="AR6" s="144"/>
      <c r="AS6" s="144"/>
      <c r="AT6" s="460"/>
      <c r="AU6" s="461"/>
      <c r="AV6" s="151"/>
    </row>
    <row r="7" spans="1:48">
      <c r="A7" s="462" t="s">
        <v>257</v>
      </c>
      <c r="B7" s="463"/>
      <c r="C7" s="464" t="s">
        <v>306</v>
      </c>
      <c r="D7" s="465"/>
      <c r="E7" s="465"/>
      <c r="F7" s="465"/>
      <c r="G7" s="465"/>
      <c r="H7" s="465"/>
      <c r="I7" s="465"/>
      <c r="J7" s="465"/>
      <c r="K7" s="466"/>
      <c r="L7" s="152" t="s">
        <v>258</v>
      </c>
      <c r="M7" s="153" t="s">
        <v>304</v>
      </c>
      <c r="N7" s="154"/>
      <c r="R7" s="462" t="s">
        <v>257</v>
      </c>
      <c r="S7" s="463"/>
      <c r="T7" s="464" t="s">
        <v>306</v>
      </c>
      <c r="U7" s="465"/>
      <c r="V7" s="465"/>
      <c r="W7" s="465"/>
      <c r="X7" s="465"/>
      <c r="Y7" s="465"/>
      <c r="Z7" s="465"/>
      <c r="AA7" s="465"/>
      <c r="AB7" s="466"/>
      <c r="AC7" s="152" t="s">
        <v>258</v>
      </c>
      <c r="AD7" s="153" t="s">
        <v>304</v>
      </c>
      <c r="AE7" s="154"/>
      <c r="AI7" s="462" t="s">
        <v>257</v>
      </c>
      <c r="AJ7" s="463"/>
      <c r="AK7" s="464" t="s">
        <v>306</v>
      </c>
      <c r="AL7" s="465"/>
      <c r="AM7" s="465"/>
      <c r="AN7" s="465"/>
      <c r="AO7" s="465"/>
      <c r="AP7" s="465"/>
      <c r="AQ7" s="465"/>
      <c r="AR7" s="465"/>
      <c r="AS7" s="466"/>
      <c r="AT7" s="152" t="s">
        <v>258</v>
      </c>
      <c r="AU7" s="153" t="s">
        <v>304</v>
      </c>
      <c r="AV7" s="154"/>
    </row>
    <row r="8" spans="1:48" ht="16.8" customHeight="1">
      <c r="A8" s="467" t="s">
        <v>259</v>
      </c>
      <c r="B8" s="468"/>
      <c r="C8" s="471" t="s">
        <v>307</v>
      </c>
      <c r="D8" s="472"/>
      <c r="E8" s="472"/>
      <c r="F8" s="472"/>
      <c r="G8" s="472"/>
      <c r="H8" s="472"/>
      <c r="I8" s="472"/>
      <c r="J8" s="472"/>
      <c r="K8" s="473"/>
      <c r="L8" s="155" t="s">
        <v>260</v>
      </c>
      <c r="M8" s="156" t="s">
        <v>305</v>
      </c>
      <c r="N8" s="154"/>
      <c r="R8" s="467" t="s">
        <v>259</v>
      </c>
      <c r="S8" s="468"/>
      <c r="T8" s="471" t="s">
        <v>307</v>
      </c>
      <c r="U8" s="472"/>
      <c r="V8" s="472"/>
      <c r="W8" s="472"/>
      <c r="X8" s="472"/>
      <c r="Y8" s="472"/>
      <c r="Z8" s="472"/>
      <c r="AA8" s="472"/>
      <c r="AB8" s="473"/>
      <c r="AC8" s="155" t="s">
        <v>260</v>
      </c>
      <c r="AD8" s="156" t="s">
        <v>305</v>
      </c>
      <c r="AE8" s="154"/>
      <c r="AI8" s="467" t="s">
        <v>259</v>
      </c>
      <c r="AJ8" s="468"/>
      <c r="AK8" s="471" t="s">
        <v>307</v>
      </c>
      <c r="AL8" s="472"/>
      <c r="AM8" s="472"/>
      <c r="AN8" s="472"/>
      <c r="AO8" s="472"/>
      <c r="AP8" s="472"/>
      <c r="AQ8" s="472"/>
      <c r="AR8" s="472"/>
      <c r="AS8" s="473"/>
      <c r="AT8" s="155" t="s">
        <v>260</v>
      </c>
      <c r="AU8" s="156" t="s">
        <v>305</v>
      </c>
      <c r="AV8" s="154"/>
    </row>
    <row r="9" spans="1:48" ht="18.600000000000001" customHeight="1" thickBot="1">
      <c r="A9" s="469"/>
      <c r="B9" s="470"/>
      <c r="C9" s="474"/>
      <c r="D9" s="475"/>
      <c r="E9" s="475"/>
      <c r="F9" s="475"/>
      <c r="G9" s="475"/>
      <c r="H9" s="475"/>
      <c r="I9" s="475"/>
      <c r="J9" s="475"/>
      <c r="K9" s="476"/>
      <c r="L9" s="157" t="s">
        <v>261</v>
      </c>
      <c r="M9" s="158" t="s">
        <v>262</v>
      </c>
      <c r="N9" s="154"/>
      <c r="R9" s="469"/>
      <c r="S9" s="470"/>
      <c r="T9" s="474"/>
      <c r="U9" s="475"/>
      <c r="V9" s="475"/>
      <c r="W9" s="475"/>
      <c r="X9" s="475"/>
      <c r="Y9" s="475"/>
      <c r="Z9" s="475"/>
      <c r="AA9" s="475"/>
      <c r="AB9" s="476"/>
      <c r="AC9" s="157" t="s">
        <v>261</v>
      </c>
      <c r="AD9" s="158" t="s">
        <v>262</v>
      </c>
      <c r="AE9" s="154"/>
      <c r="AI9" s="469"/>
      <c r="AJ9" s="470"/>
      <c r="AK9" s="474"/>
      <c r="AL9" s="475"/>
      <c r="AM9" s="475"/>
      <c r="AN9" s="475"/>
      <c r="AO9" s="475"/>
      <c r="AP9" s="475"/>
      <c r="AQ9" s="475"/>
      <c r="AR9" s="475"/>
      <c r="AS9" s="476"/>
      <c r="AT9" s="157" t="s">
        <v>261</v>
      </c>
      <c r="AU9" s="158" t="s">
        <v>262</v>
      </c>
      <c r="AV9" s="154"/>
    </row>
    <row r="10" spans="1:48" ht="15" thickBot="1">
      <c r="A10" s="159"/>
      <c r="B10" s="160"/>
      <c r="C10" s="161"/>
      <c r="D10" s="162"/>
      <c r="E10" s="163"/>
      <c r="F10" s="163"/>
      <c r="G10" s="163"/>
      <c r="H10" s="163"/>
      <c r="I10" s="163"/>
      <c r="J10" s="163"/>
      <c r="K10" s="163"/>
      <c r="L10" s="163"/>
      <c r="M10" s="164"/>
      <c r="N10" s="154"/>
      <c r="R10" s="159"/>
      <c r="S10" s="160"/>
      <c r="T10" s="161"/>
      <c r="U10" s="162"/>
      <c r="V10" s="163"/>
      <c r="W10" s="163"/>
      <c r="X10" s="163"/>
      <c r="Y10" s="163"/>
      <c r="Z10" s="163"/>
      <c r="AA10" s="163"/>
      <c r="AB10" s="163"/>
      <c r="AC10" s="163"/>
      <c r="AD10" s="164"/>
      <c r="AE10" s="154"/>
      <c r="AI10" s="159"/>
      <c r="AJ10" s="160"/>
      <c r="AK10" s="161"/>
      <c r="AL10" s="162"/>
      <c r="AM10" s="163"/>
      <c r="AN10" s="163"/>
      <c r="AO10" s="163"/>
      <c r="AP10" s="163"/>
      <c r="AQ10" s="163"/>
      <c r="AR10" s="163"/>
      <c r="AS10" s="163"/>
      <c r="AT10" s="163"/>
      <c r="AU10" s="164"/>
      <c r="AV10" s="154"/>
    </row>
    <row r="11" spans="1:48">
      <c r="A11" s="444" t="s">
        <v>263</v>
      </c>
      <c r="B11" s="445"/>
      <c r="C11" s="205" t="s">
        <v>264</v>
      </c>
      <c r="D11" s="446" t="s">
        <v>265</v>
      </c>
      <c r="E11" s="447"/>
      <c r="F11" s="447"/>
      <c r="G11" s="447"/>
      <c r="H11" s="447"/>
      <c r="I11" s="447"/>
      <c r="J11" s="447"/>
      <c r="K11" s="447"/>
      <c r="L11" s="447"/>
      <c r="M11" s="448"/>
      <c r="N11" s="151"/>
      <c r="R11" s="444" t="s">
        <v>263</v>
      </c>
      <c r="S11" s="445"/>
      <c r="T11" s="147" t="s">
        <v>264</v>
      </c>
      <c r="U11" s="446" t="s">
        <v>265</v>
      </c>
      <c r="V11" s="447"/>
      <c r="W11" s="447"/>
      <c r="X11" s="447"/>
      <c r="Y11" s="447"/>
      <c r="Z11" s="447"/>
      <c r="AA11" s="447"/>
      <c r="AB11" s="447"/>
      <c r="AC11" s="447"/>
      <c r="AD11" s="448"/>
      <c r="AE11" s="151"/>
      <c r="AI11" s="444" t="s">
        <v>263</v>
      </c>
      <c r="AJ11" s="445"/>
      <c r="AK11" s="205" t="s">
        <v>264</v>
      </c>
      <c r="AL11" s="446" t="s">
        <v>265</v>
      </c>
      <c r="AM11" s="447"/>
      <c r="AN11" s="447"/>
      <c r="AO11" s="447"/>
      <c r="AP11" s="447"/>
      <c r="AQ11" s="447"/>
      <c r="AR11" s="447"/>
      <c r="AS11" s="447"/>
      <c r="AT11" s="447"/>
      <c r="AU11" s="448"/>
      <c r="AV11" s="151"/>
    </row>
    <row r="12" spans="1:48">
      <c r="A12" s="206"/>
      <c r="B12" s="165"/>
      <c r="C12" s="206"/>
      <c r="D12" s="449" t="s">
        <v>266</v>
      </c>
      <c r="E12" s="450"/>
      <c r="F12" s="450"/>
      <c r="G12" s="450"/>
      <c r="H12" s="450"/>
      <c r="I12" s="451"/>
      <c r="J12" s="449" t="s">
        <v>267</v>
      </c>
      <c r="K12" s="451"/>
      <c r="L12" s="166" t="s">
        <v>268</v>
      </c>
      <c r="M12" s="207" t="s">
        <v>269</v>
      </c>
      <c r="N12" s="151"/>
      <c r="R12" s="150"/>
      <c r="S12" s="165"/>
      <c r="T12" s="150"/>
      <c r="U12" s="449" t="s">
        <v>266</v>
      </c>
      <c r="V12" s="450"/>
      <c r="W12" s="450"/>
      <c r="X12" s="450"/>
      <c r="Y12" s="450"/>
      <c r="Z12" s="451"/>
      <c r="AA12" s="449" t="s">
        <v>267</v>
      </c>
      <c r="AB12" s="451"/>
      <c r="AC12" s="166" t="s">
        <v>268</v>
      </c>
      <c r="AD12" s="167" t="s">
        <v>269</v>
      </c>
      <c r="AE12" s="151"/>
      <c r="AI12" s="206"/>
      <c r="AJ12" s="165"/>
      <c r="AK12" s="206"/>
      <c r="AL12" s="449" t="s">
        <v>266</v>
      </c>
      <c r="AM12" s="450"/>
      <c r="AN12" s="450"/>
      <c r="AO12" s="450"/>
      <c r="AP12" s="450"/>
      <c r="AQ12" s="451"/>
      <c r="AR12" s="449" t="s">
        <v>267</v>
      </c>
      <c r="AS12" s="451"/>
      <c r="AT12" s="166" t="s">
        <v>268</v>
      </c>
      <c r="AU12" s="207" t="s">
        <v>269</v>
      </c>
      <c r="AV12" s="151"/>
    </row>
    <row r="13" spans="1:48" ht="15" thickBot="1">
      <c r="A13" s="191"/>
      <c r="B13" s="192"/>
      <c r="C13" s="191"/>
      <c r="D13" s="452"/>
      <c r="E13" s="453"/>
      <c r="F13" s="453"/>
      <c r="G13" s="453"/>
      <c r="H13" s="453"/>
      <c r="I13" s="454"/>
      <c r="J13" s="452"/>
      <c r="K13" s="454"/>
      <c r="L13" s="193" t="s">
        <v>270</v>
      </c>
      <c r="M13" s="194" t="s">
        <v>271</v>
      </c>
      <c r="N13" s="151"/>
      <c r="R13" s="191"/>
      <c r="S13" s="192"/>
      <c r="T13" s="191"/>
      <c r="U13" s="452"/>
      <c r="V13" s="453"/>
      <c r="W13" s="453"/>
      <c r="X13" s="453"/>
      <c r="Y13" s="453"/>
      <c r="Z13" s="454"/>
      <c r="AA13" s="452"/>
      <c r="AB13" s="454"/>
      <c r="AC13" s="193" t="s">
        <v>270</v>
      </c>
      <c r="AD13" s="194" t="s">
        <v>271</v>
      </c>
      <c r="AE13" s="151"/>
      <c r="AI13" s="191"/>
      <c r="AJ13" s="192"/>
      <c r="AK13" s="191"/>
      <c r="AL13" s="452"/>
      <c r="AM13" s="453"/>
      <c r="AN13" s="453"/>
      <c r="AO13" s="453"/>
      <c r="AP13" s="453"/>
      <c r="AQ13" s="454"/>
      <c r="AR13" s="452"/>
      <c r="AS13" s="454"/>
      <c r="AT13" s="193" t="s">
        <v>270</v>
      </c>
      <c r="AU13" s="194" t="s">
        <v>271</v>
      </c>
      <c r="AV13" s="151"/>
    </row>
    <row r="14" spans="1:48" ht="14.4" customHeight="1">
      <c r="A14" s="436" t="s">
        <v>272</v>
      </c>
      <c r="B14" s="438" t="s">
        <v>273</v>
      </c>
      <c r="C14" s="440" t="s">
        <v>533</v>
      </c>
      <c r="D14" s="375" t="s">
        <v>274</v>
      </c>
      <c r="E14" s="375"/>
      <c r="F14" s="375"/>
      <c r="G14" s="375"/>
      <c r="H14" s="376"/>
      <c r="I14" s="169"/>
      <c r="J14" s="441" t="s">
        <v>534</v>
      </c>
      <c r="K14" s="442"/>
      <c r="L14" s="480">
        <f>'AMCB Table'!B11</f>
        <v>3183087.0822800249</v>
      </c>
      <c r="M14" s="431" t="s">
        <v>435</v>
      </c>
      <c r="N14" s="168"/>
      <c r="R14" s="436" t="s">
        <v>272</v>
      </c>
      <c r="S14" s="438" t="s">
        <v>273</v>
      </c>
      <c r="T14" s="440" t="s">
        <v>533</v>
      </c>
      <c r="U14" s="375" t="s">
        <v>274</v>
      </c>
      <c r="V14" s="375"/>
      <c r="W14" s="375"/>
      <c r="X14" s="375"/>
      <c r="Y14" s="376"/>
      <c r="Z14" s="169"/>
      <c r="AA14" s="441" t="s">
        <v>534</v>
      </c>
      <c r="AB14" s="442"/>
      <c r="AC14" s="480">
        <f>'AMCB Table'!F11</f>
        <v>2495859.8710528617</v>
      </c>
      <c r="AD14" s="431" t="s">
        <v>435</v>
      </c>
      <c r="AE14" s="168"/>
      <c r="AI14" s="436" t="s">
        <v>272</v>
      </c>
      <c r="AJ14" s="438" t="s">
        <v>273</v>
      </c>
      <c r="AK14" s="440" t="s">
        <v>429</v>
      </c>
      <c r="AL14" s="375" t="s">
        <v>274</v>
      </c>
      <c r="AM14" s="375"/>
      <c r="AN14" s="375"/>
      <c r="AO14" s="375"/>
      <c r="AP14" s="376"/>
      <c r="AQ14" s="169"/>
      <c r="AR14" s="441" t="s">
        <v>434</v>
      </c>
      <c r="AS14" s="442"/>
      <c r="AT14" s="430">
        <f>'AMCB Table'!J11</f>
        <v>1591032.5935919168</v>
      </c>
      <c r="AU14" s="431" t="s">
        <v>435</v>
      </c>
      <c r="AV14" s="168"/>
    </row>
    <row r="15" spans="1:48">
      <c r="A15" s="436"/>
      <c r="B15" s="439"/>
      <c r="C15" s="440"/>
      <c r="D15" s="434" t="s">
        <v>275</v>
      </c>
      <c r="E15" s="365"/>
      <c r="F15" s="365"/>
      <c r="G15" s="365"/>
      <c r="H15" s="365"/>
      <c r="I15" s="366"/>
      <c r="J15" s="441"/>
      <c r="K15" s="442"/>
      <c r="L15" s="481"/>
      <c r="M15" s="432"/>
      <c r="N15" s="168"/>
      <c r="R15" s="436"/>
      <c r="S15" s="439"/>
      <c r="T15" s="440"/>
      <c r="U15" s="434" t="s">
        <v>275</v>
      </c>
      <c r="V15" s="365"/>
      <c r="W15" s="365"/>
      <c r="X15" s="365"/>
      <c r="Y15" s="365"/>
      <c r="Z15" s="366"/>
      <c r="AA15" s="441"/>
      <c r="AB15" s="442"/>
      <c r="AC15" s="481"/>
      <c r="AD15" s="432"/>
      <c r="AE15" s="168"/>
      <c r="AI15" s="436"/>
      <c r="AJ15" s="439"/>
      <c r="AK15" s="440"/>
      <c r="AL15" s="434" t="s">
        <v>275</v>
      </c>
      <c r="AM15" s="365"/>
      <c r="AN15" s="365"/>
      <c r="AO15" s="365"/>
      <c r="AP15" s="365"/>
      <c r="AQ15" s="366"/>
      <c r="AR15" s="441"/>
      <c r="AS15" s="442"/>
      <c r="AT15" s="400"/>
      <c r="AU15" s="432"/>
      <c r="AV15" s="168"/>
    </row>
    <row r="16" spans="1:48">
      <c r="A16" s="436"/>
      <c r="B16" s="439"/>
      <c r="C16" s="440"/>
      <c r="D16" s="435" t="s">
        <v>276</v>
      </c>
      <c r="E16" s="368"/>
      <c r="F16" s="369" t="s">
        <v>277</v>
      </c>
      <c r="G16" s="368"/>
      <c r="H16" s="368" t="s">
        <v>278</v>
      </c>
      <c r="I16" s="370"/>
      <c r="J16" s="441"/>
      <c r="K16" s="442"/>
      <c r="L16" s="481"/>
      <c r="M16" s="433"/>
      <c r="N16" s="168"/>
      <c r="R16" s="436"/>
      <c r="S16" s="439"/>
      <c r="T16" s="440"/>
      <c r="U16" s="435" t="s">
        <v>276</v>
      </c>
      <c r="V16" s="368"/>
      <c r="W16" s="369" t="s">
        <v>277</v>
      </c>
      <c r="X16" s="368"/>
      <c r="Y16" s="368" t="s">
        <v>278</v>
      </c>
      <c r="Z16" s="370"/>
      <c r="AA16" s="441"/>
      <c r="AB16" s="442"/>
      <c r="AC16" s="481"/>
      <c r="AD16" s="433"/>
      <c r="AE16" s="168"/>
      <c r="AI16" s="436"/>
      <c r="AJ16" s="439"/>
      <c r="AK16" s="440"/>
      <c r="AL16" s="435" t="s">
        <v>276</v>
      </c>
      <c r="AM16" s="368"/>
      <c r="AN16" s="369" t="s">
        <v>277</v>
      </c>
      <c r="AO16" s="368"/>
      <c r="AP16" s="368" t="s">
        <v>278</v>
      </c>
      <c r="AQ16" s="370"/>
      <c r="AR16" s="441"/>
      <c r="AS16" s="442"/>
      <c r="AT16" s="400"/>
      <c r="AU16" s="433"/>
      <c r="AV16" s="168"/>
    </row>
    <row r="17" spans="1:48" ht="20.399999999999999">
      <c r="A17" s="436"/>
      <c r="B17" s="209" t="s">
        <v>279</v>
      </c>
      <c r="C17" s="202"/>
      <c r="D17" s="426"/>
      <c r="E17" s="426"/>
      <c r="F17" s="426"/>
      <c r="G17" s="426"/>
      <c r="H17" s="426"/>
      <c r="I17" s="426"/>
      <c r="J17" s="426"/>
      <c r="K17" s="426"/>
      <c r="L17" s="203"/>
      <c r="M17" s="195"/>
      <c r="N17" s="168"/>
      <c r="R17" s="436"/>
      <c r="S17" s="201" t="s">
        <v>279</v>
      </c>
      <c r="T17" s="202"/>
      <c r="U17" s="426"/>
      <c r="V17" s="426"/>
      <c r="W17" s="426"/>
      <c r="X17" s="426"/>
      <c r="Y17" s="426"/>
      <c r="Z17" s="426"/>
      <c r="AA17" s="426"/>
      <c r="AB17" s="426"/>
      <c r="AC17" s="170"/>
      <c r="AD17" s="195"/>
      <c r="AE17" s="168"/>
      <c r="AI17" s="436"/>
      <c r="AJ17" s="209" t="s">
        <v>279</v>
      </c>
      <c r="AK17" s="202"/>
      <c r="AL17" s="426"/>
      <c r="AM17" s="426"/>
      <c r="AN17" s="426"/>
      <c r="AO17" s="426"/>
      <c r="AP17" s="426"/>
      <c r="AQ17" s="426"/>
      <c r="AR17" s="426"/>
      <c r="AS17" s="426"/>
      <c r="AT17" s="319"/>
      <c r="AU17" s="195"/>
      <c r="AV17" s="168"/>
    </row>
    <row r="18" spans="1:48">
      <c r="A18" s="436"/>
      <c r="B18" s="209" t="s">
        <v>280</v>
      </c>
      <c r="C18" s="284" t="s">
        <v>427</v>
      </c>
      <c r="D18" s="426"/>
      <c r="E18" s="426"/>
      <c r="F18" s="426"/>
      <c r="G18" s="426"/>
      <c r="H18" s="426"/>
      <c r="I18" s="426"/>
      <c r="J18" s="426"/>
      <c r="K18" s="426"/>
      <c r="L18" s="203"/>
      <c r="M18" s="195"/>
      <c r="N18" s="168"/>
      <c r="R18" s="436"/>
      <c r="S18" s="201" t="s">
        <v>280</v>
      </c>
      <c r="T18" s="284" t="s">
        <v>427</v>
      </c>
      <c r="U18" s="426"/>
      <c r="V18" s="426"/>
      <c r="W18" s="426"/>
      <c r="X18" s="426"/>
      <c r="Y18" s="426"/>
      <c r="Z18" s="426"/>
      <c r="AA18" s="426"/>
      <c r="AB18" s="426"/>
      <c r="AC18" s="203"/>
      <c r="AD18" s="195"/>
      <c r="AE18" s="168"/>
      <c r="AI18" s="436"/>
      <c r="AJ18" s="209" t="s">
        <v>280</v>
      </c>
      <c r="AK18" s="284" t="s">
        <v>427</v>
      </c>
      <c r="AL18" s="426"/>
      <c r="AM18" s="426"/>
      <c r="AN18" s="426"/>
      <c r="AO18" s="426"/>
      <c r="AP18" s="426"/>
      <c r="AQ18" s="426"/>
      <c r="AR18" s="426"/>
      <c r="AS18" s="426"/>
      <c r="AT18" s="319"/>
      <c r="AU18" s="195"/>
      <c r="AV18" s="168"/>
    </row>
    <row r="19" spans="1:48" ht="15" thickBot="1">
      <c r="A19" s="437"/>
      <c r="B19" s="182" t="s">
        <v>281</v>
      </c>
      <c r="C19" s="285" t="s">
        <v>427</v>
      </c>
      <c r="D19" s="443"/>
      <c r="E19" s="443"/>
      <c r="F19" s="443"/>
      <c r="G19" s="443"/>
      <c r="H19" s="443"/>
      <c r="I19" s="443"/>
      <c r="J19" s="443"/>
      <c r="K19" s="443"/>
      <c r="L19" s="204"/>
      <c r="M19" s="172"/>
      <c r="N19" s="168"/>
      <c r="R19" s="437"/>
      <c r="S19" s="182" t="s">
        <v>281</v>
      </c>
      <c r="T19" s="285" t="s">
        <v>427</v>
      </c>
      <c r="U19" s="443"/>
      <c r="V19" s="443"/>
      <c r="W19" s="443"/>
      <c r="X19" s="443"/>
      <c r="Y19" s="443"/>
      <c r="Z19" s="443"/>
      <c r="AA19" s="443"/>
      <c r="AB19" s="443"/>
      <c r="AC19" s="204"/>
      <c r="AD19" s="172"/>
      <c r="AE19" s="168"/>
      <c r="AI19" s="437"/>
      <c r="AJ19" s="182" t="s">
        <v>281</v>
      </c>
      <c r="AK19" s="285" t="s">
        <v>427</v>
      </c>
      <c r="AL19" s="443"/>
      <c r="AM19" s="443"/>
      <c r="AN19" s="443"/>
      <c r="AO19" s="443"/>
      <c r="AP19" s="443"/>
      <c r="AQ19" s="443"/>
      <c r="AR19" s="443"/>
      <c r="AS19" s="443"/>
      <c r="AT19" s="320"/>
      <c r="AU19" s="172"/>
      <c r="AV19" s="168"/>
    </row>
    <row r="20" spans="1:48" ht="41.4" customHeight="1">
      <c r="A20" s="408" t="s">
        <v>282</v>
      </c>
      <c r="B20" s="187" t="s">
        <v>61</v>
      </c>
      <c r="C20" s="288" t="s">
        <v>431</v>
      </c>
      <c r="D20" s="351" t="s">
        <v>546</v>
      </c>
      <c r="E20" s="352"/>
      <c r="F20" s="352"/>
      <c r="G20" s="352"/>
      <c r="H20" s="352"/>
      <c r="I20" s="353"/>
      <c r="J20" s="411" t="s">
        <v>432</v>
      </c>
      <c r="K20" s="412"/>
      <c r="L20" s="289">
        <f>'AMCB Table'!B3</f>
        <v>13095.723404016924</v>
      </c>
      <c r="M20" s="290" t="s">
        <v>430</v>
      </c>
      <c r="N20" s="168"/>
      <c r="R20" s="408" t="s">
        <v>282</v>
      </c>
      <c r="S20" s="187" t="s">
        <v>61</v>
      </c>
      <c r="T20" s="288" t="s">
        <v>431</v>
      </c>
      <c r="U20" s="351" t="s">
        <v>526</v>
      </c>
      <c r="V20" s="352"/>
      <c r="W20" s="352"/>
      <c r="X20" s="352"/>
      <c r="Y20" s="352"/>
      <c r="Z20" s="353"/>
      <c r="AA20" s="411" t="s">
        <v>432</v>
      </c>
      <c r="AB20" s="412"/>
      <c r="AC20" s="289">
        <f>'AMCB Table'!F3</f>
        <v>9228.6101498368134</v>
      </c>
      <c r="AD20" s="290" t="s">
        <v>430</v>
      </c>
      <c r="AE20" s="168"/>
      <c r="AI20" s="408" t="s">
        <v>282</v>
      </c>
      <c r="AJ20" s="187" t="s">
        <v>61</v>
      </c>
      <c r="AK20" s="288" t="s">
        <v>431</v>
      </c>
      <c r="AL20" s="351" t="s">
        <v>553</v>
      </c>
      <c r="AM20" s="352"/>
      <c r="AN20" s="352"/>
      <c r="AO20" s="352"/>
      <c r="AP20" s="352"/>
      <c r="AQ20" s="353"/>
      <c r="AR20" s="411" t="s">
        <v>432</v>
      </c>
      <c r="AS20" s="412"/>
      <c r="AT20" s="321">
        <f>'AMCB Table'!J3</f>
        <v>6555.2383239534756</v>
      </c>
      <c r="AU20" s="290" t="s">
        <v>430</v>
      </c>
      <c r="AV20" s="168"/>
    </row>
    <row r="21" spans="1:48" ht="51.6" customHeight="1" thickBot="1">
      <c r="A21" s="409"/>
      <c r="B21" s="188" t="s">
        <v>283</v>
      </c>
      <c r="C21" s="291" t="s">
        <v>437</v>
      </c>
      <c r="D21" s="413" t="s">
        <v>547</v>
      </c>
      <c r="E21" s="414"/>
      <c r="F21" s="414"/>
      <c r="G21" s="414"/>
      <c r="H21" s="414"/>
      <c r="I21" s="415"/>
      <c r="J21" s="354" t="s">
        <v>433</v>
      </c>
      <c r="K21" s="356"/>
      <c r="L21" s="292">
        <f>'AMCB Table'!B4</f>
        <v>688187.29398375307</v>
      </c>
      <c r="M21" s="294" t="s">
        <v>436</v>
      </c>
      <c r="N21" s="168"/>
      <c r="R21" s="409"/>
      <c r="S21" s="188" t="s">
        <v>283</v>
      </c>
      <c r="T21" s="291" t="s">
        <v>437</v>
      </c>
      <c r="U21" s="413" t="s">
        <v>527</v>
      </c>
      <c r="V21" s="414"/>
      <c r="W21" s="414"/>
      <c r="X21" s="414"/>
      <c r="Y21" s="414"/>
      <c r="Z21" s="415"/>
      <c r="AA21" s="354" t="s">
        <v>433</v>
      </c>
      <c r="AB21" s="356"/>
      <c r="AC21" s="292">
        <f>'AMCB Table'!F4</f>
        <v>680987.44835573866</v>
      </c>
      <c r="AD21" s="294" t="s">
        <v>436</v>
      </c>
      <c r="AE21" s="168"/>
      <c r="AI21" s="409"/>
      <c r="AJ21" s="188" t="s">
        <v>283</v>
      </c>
      <c r="AK21" s="291" t="s">
        <v>437</v>
      </c>
      <c r="AL21" s="413" t="s">
        <v>554</v>
      </c>
      <c r="AM21" s="414"/>
      <c r="AN21" s="414"/>
      <c r="AO21" s="414"/>
      <c r="AP21" s="414"/>
      <c r="AQ21" s="415"/>
      <c r="AR21" s="354" t="s">
        <v>433</v>
      </c>
      <c r="AS21" s="356"/>
      <c r="AT21" s="322">
        <f>'AMCB Table'!J4</f>
        <v>676010.12724112242</v>
      </c>
      <c r="AU21" s="294" t="s">
        <v>436</v>
      </c>
      <c r="AV21" s="168"/>
    </row>
    <row r="22" spans="1:48" ht="51" customHeight="1" thickTop="1">
      <c r="A22" s="409"/>
      <c r="B22" s="416" t="s">
        <v>201</v>
      </c>
      <c r="C22" s="418" t="s">
        <v>442</v>
      </c>
      <c r="D22" s="420" t="s">
        <v>284</v>
      </c>
      <c r="E22" s="421"/>
      <c r="F22" s="421"/>
      <c r="G22" s="421"/>
      <c r="H22" s="421"/>
      <c r="I22" s="173"/>
      <c r="J22" s="422" t="s">
        <v>443</v>
      </c>
      <c r="K22" s="423"/>
      <c r="L22" s="481">
        <f>'AMCB Table'!B5</f>
        <v>1935051.7764203949</v>
      </c>
      <c r="M22" s="401"/>
      <c r="N22" s="168"/>
      <c r="R22" s="409"/>
      <c r="S22" s="416" t="s">
        <v>201</v>
      </c>
      <c r="T22" s="418" t="s">
        <v>442</v>
      </c>
      <c r="U22" s="420" t="s">
        <v>284</v>
      </c>
      <c r="V22" s="421"/>
      <c r="W22" s="421"/>
      <c r="X22" s="421"/>
      <c r="Y22" s="421"/>
      <c r="Z22" s="173"/>
      <c r="AA22" s="422" t="s">
        <v>443</v>
      </c>
      <c r="AB22" s="423"/>
      <c r="AC22" s="481">
        <f>'AMCB Table'!F5</f>
        <v>1921646.2385412841</v>
      </c>
      <c r="AD22" s="401"/>
      <c r="AE22" s="168"/>
      <c r="AI22" s="409"/>
      <c r="AJ22" s="416" t="s">
        <v>201</v>
      </c>
      <c r="AK22" s="418" t="s">
        <v>442</v>
      </c>
      <c r="AL22" s="420" t="s">
        <v>284</v>
      </c>
      <c r="AM22" s="421"/>
      <c r="AN22" s="421"/>
      <c r="AO22" s="421"/>
      <c r="AP22" s="421"/>
      <c r="AQ22" s="173"/>
      <c r="AR22" s="422" t="s">
        <v>443</v>
      </c>
      <c r="AS22" s="423"/>
      <c r="AT22" s="400">
        <f>'AMCB Table'!J5</f>
        <v>1525835.5366660203</v>
      </c>
      <c r="AU22" s="401"/>
      <c r="AV22" s="168"/>
    </row>
    <row r="23" spans="1:48" ht="20.399999999999999" customHeight="1" thickBot="1">
      <c r="A23" s="409"/>
      <c r="B23" s="417"/>
      <c r="C23" s="419"/>
      <c r="D23" s="403" t="s">
        <v>438</v>
      </c>
      <c r="E23" s="404"/>
      <c r="F23" s="404"/>
      <c r="G23" s="404"/>
      <c r="H23" s="404"/>
      <c r="I23" s="295">
        <f>0-SUM('LED Street lights'!E83+'EV charge points'!D71+'Streets for People AMAT'!O109+'School Streets AMAT'!O109)</f>
        <v>-55047.137439507489</v>
      </c>
      <c r="J23" s="424"/>
      <c r="K23" s="425"/>
      <c r="L23" s="481"/>
      <c r="M23" s="402"/>
      <c r="N23" s="168"/>
      <c r="R23" s="409"/>
      <c r="S23" s="417"/>
      <c r="T23" s="419"/>
      <c r="U23" s="403" t="s">
        <v>438</v>
      </c>
      <c r="V23" s="404"/>
      <c r="W23" s="404"/>
      <c r="X23" s="404"/>
      <c r="Y23" s="404"/>
      <c r="Z23" s="295">
        <f>0-SUM('LED Street lights'!E83+'EV charge points'!D71+'Streets for People AMAT'!O86+'School Streets AMAT'!O86)</f>
        <v>-54789.877051968833</v>
      </c>
      <c r="AA23" s="424"/>
      <c r="AB23" s="425"/>
      <c r="AC23" s="481"/>
      <c r="AD23" s="402"/>
      <c r="AE23" s="168"/>
      <c r="AI23" s="409"/>
      <c r="AJ23" s="417"/>
      <c r="AK23" s="419"/>
      <c r="AL23" s="403" t="s">
        <v>438</v>
      </c>
      <c r="AM23" s="404"/>
      <c r="AN23" s="404"/>
      <c r="AO23" s="404"/>
      <c r="AP23" s="404"/>
      <c r="AQ23" s="295">
        <f>0-SUM('LED Street lights'!E56+'EV charge points'!D71+'Streets for People AMAT'!O132+'School Streets AMAT'!O132)</f>
        <v>-44665.982031693769</v>
      </c>
      <c r="AR23" s="424"/>
      <c r="AS23" s="425"/>
      <c r="AT23" s="400"/>
      <c r="AU23" s="402"/>
      <c r="AV23" s="168"/>
    </row>
    <row r="24" spans="1:48" ht="15" thickTop="1">
      <c r="A24" s="409"/>
      <c r="B24" s="189" t="s">
        <v>285</v>
      </c>
      <c r="C24" s="293" t="s">
        <v>427</v>
      </c>
      <c r="D24" s="405"/>
      <c r="E24" s="405"/>
      <c r="F24" s="405"/>
      <c r="G24" s="405"/>
      <c r="H24" s="405"/>
      <c r="I24" s="405"/>
      <c r="J24" s="406"/>
      <c r="K24" s="407"/>
      <c r="L24" s="203"/>
      <c r="M24" s="174"/>
      <c r="N24" s="168"/>
      <c r="R24" s="409"/>
      <c r="S24" s="189" t="s">
        <v>285</v>
      </c>
      <c r="T24" s="293" t="s">
        <v>427</v>
      </c>
      <c r="U24" s="405"/>
      <c r="V24" s="405"/>
      <c r="W24" s="405"/>
      <c r="X24" s="405"/>
      <c r="Y24" s="405"/>
      <c r="Z24" s="405"/>
      <c r="AA24" s="406"/>
      <c r="AB24" s="407"/>
      <c r="AC24" s="170"/>
      <c r="AD24" s="174"/>
      <c r="AE24" s="168"/>
      <c r="AI24" s="409"/>
      <c r="AJ24" s="189" t="s">
        <v>285</v>
      </c>
      <c r="AK24" s="293" t="s">
        <v>427</v>
      </c>
      <c r="AL24" s="405"/>
      <c r="AM24" s="405"/>
      <c r="AN24" s="405"/>
      <c r="AO24" s="405"/>
      <c r="AP24" s="405"/>
      <c r="AQ24" s="405"/>
      <c r="AR24" s="406"/>
      <c r="AS24" s="407"/>
      <c r="AT24" s="319"/>
      <c r="AU24" s="174"/>
      <c r="AV24" s="168"/>
    </row>
    <row r="25" spans="1:48" ht="56.4" customHeight="1">
      <c r="A25" s="409"/>
      <c r="B25" s="344" t="s">
        <v>286</v>
      </c>
      <c r="C25" s="345" t="s">
        <v>542</v>
      </c>
      <c r="D25" s="399" t="s">
        <v>541</v>
      </c>
      <c r="E25" s="399"/>
      <c r="F25" s="399"/>
      <c r="G25" s="399"/>
      <c r="H25" s="399"/>
      <c r="I25" s="399"/>
      <c r="J25" s="356" t="s">
        <v>543</v>
      </c>
      <c r="K25" s="354"/>
      <c r="L25" s="339"/>
      <c r="M25" s="174"/>
      <c r="N25" s="168"/>
      <c r="R25" s="409"/>
      <c r="S25" s="189" t="s">
        <v>286</v>
      </c>
      <c r="T25" s="345" t="s">
        <v>542</v>
      </c>
      <c r="U25" s="399" t="s">
        <v>541</v>
      </c>
      <c r="V25" s="399"/>
      <c r="W25" s="399"/>
      <c r="X25" s="399"/>
      <c r="Y25" s="399"/>
      <c r="Z25" s="399"/>
      <c r="AA25" s="356" t="s">
        <v>543</v>
      </c>
      <c r="AB25" s="354"/>
      <c r="AC25" s="339"/>
      <c r="AD25" s="174"/>
      <c r="AE25" s="168"/>
      <c r="AI25" s="409"/>
      <c r="AJ25" s="189" t="s">
        <v>286</v>
      </c>
      <c r="AK25" s="345" t="s">
        <v>542</v>
      </c>
      <c r="AL25" s="399" t="s">
        <v>541</v>
      </c>
      <c r="AM25" s="399"/>
      <c r="AN25" s="399"/>
      <c r="AO25" s="399"/>
      <c r="AP25" s="399"/>
      <c r="AQ25" s="399"/>
      <c r="AR25" s="356" t="s">
        <v>543</v>
      </c>
      <c r="AS25" s="354"/>
      <c r="AT25" s="339"/>
      <c r="AU25" s="174"/>
      <c r="AV25" s="168"/>
    </row>
    <row r="26" spans="1:48">
      <c r="A26" s="409"/>
      <c r="B26" s="189" t="s">
        <v>287</v>
      </c>
      <c r="C26" s="293" t="s">
        <v>427</v>
      </c>
      <c r="D26" s="426"/>
      <c r="E26" s="426"/>
      <c r="F26" s="426"/>
      <c r="G26" s="426"/>
      <c r="H26" s="426"/>
      <c r="I26" s="426"/>
      <c r="J26" s="406"/>
      <c r="K26" s="407"/>
      <c r="L26" s="203"/>
      <c r="M26" s="174"/>
      <c r="N26" s="168"/>
      <c r="R26" s="409"/>
      <c r="S26" s="189" t="s">
        <v>287</v>
      </c>
      <c r="T26" s="293" t="s">
        <v>427</v>
      </c>
      <c r="U26" s="426"/>
      <c r="V26" s="426"/>
      <c r="W26" s="426"/>
      <c r="X26" s="426"/>
      <c r="Y26" s="426"/>
      <c r="Z26" s="426"/>
      <c r="AA26" s="406"/>
      <c r="AB26" s="407"/>
      <c r="AC26" s="170"/>
      <c r="AD26" s="174"/>
      <c r="AE26" s="168"/>
      <c r="AI26" s="409"/>
      <c r="AJ26" s="189" t="s">
        <v>287</v>
      </c>
      <c r="AK26" s="293" t="s">
        <v>427</v>
      </c>
      <c r="AL26" s="426"/>
      <c r="AM26" s="426"/>
      <c r="AN26" s="426"/>
      <c r="AO26" s="426"/>
      <c r="AP26" s="426"/>
      <c r="AQ26" s="426"/>
      <c r="AR26" s="406"/>
      <c r="AS26" s="407"/>
      <c r="AT26" s="319"/>
      <c r="AU26" s="174"/>
      <c r="AV26" s="168"/>
    </row>
    <row r="27" spans="1:48">
      <c r="A27" s="409"/>
      <c r="B27" s="189" t="s">
        <v>288</v>
      </c>
      <c r="C27" s="293" t="s">
        <v>427</v>
      </c>
      <c r="D27" s="426"/>
      <c r="E27" s="426"/>
      <c r="F27" s="426"/>
      <c r="G27" s="426"/>
      <c r="H27" s="426"/>
      <c r="I27" s="426"/>
      <c r="J27" s="406"/>
      <c r="K27" s="407"/>
      <c r="L27" s="203"/>
      <c r="M27" s="174"/>
      <c r="N27" s="168"/>
      <c r="R27" s="409"/>
      <c r="S27" s="189" t="s">
        <v>288</v>
      </c>
      <c r="T27" s="293" t="s">
        <v>427</v>
      </c>
      <c r="U27" s="426"/>
      <c r="V27" s="426"/>
      <c r="W27" s="426"/>
      <c r="X27" s="426"/>
      <c r="Y27" s="426"/>
      <c r="Z27" s="426"/>
      <c r="AA27" s="406"/>
      <c r="AB27" s="407"/>
      <c r="AC27" s="170"/>
      <c r="AD27" s="174"/>
      <c r="AE27" s="168"/>
      <c r="AI27" s="409"/>
      <c r="AJ27" s="189" t="s">
        <v>288</v>
      </c>
      <c r="AK27" s="293" t="s">
        <v>427</v>
      </c>
      <c r="AL27" s="426"/>
      <c r="AM27" s="426"/>
      <c r="AN27" s="426"/>
      <c r="AO27" s="426"/>
      <c r="AP27" s="426"/>
      <c r="AQ27" s="426"/>
      <c r="AR27" s="406"/>
      <c r="AS27" s="407"/>
      <c r="AT27" s="319"/>
      <c r="AU27" s="174"/>
      <c r="AV27" s="168"/>
    </row>
    <row r="28" spans="1:48" ht="15" thickBot="1">
      <c r="A28" s="410"/>
      <c r="B28" s="190" t="s">
        <v>289</v>
      </c>
      <c r="C28" s="293" t="s">
        <v>427</v>
      </c>
      <c r="D28" s="427"/>
      <c r="E28" s="427"/>
      <c r="F28" s="427"/>
      <c r="G28" s="427"/>
      <c r="H28" s="427"/>
      <c r="I28" s="427"/>
      <c r="J28" s="428"/>
      <c r="K28" s="429"/>
      <c r="L28" s="204"/>
      <c r="M28" s="186"/>
      <c r="N28" s="168"/>
      <c r="R28" s="410"/>
      <c r="S28" s="190" t="s">
        <v>289</v>
      </c>
      <c r="T28" s="293" t="s">
        <v>427</v>
      </c>
      <c r="U28" s="427"/>
      <c r="V28" s="427"/>
      <c r="W28" s="427"/>
      <c r="X28" s="427"/>
      <c r="Y28" s="427"/>
      <c r="Z28" s="427"/>
      <c r="AA28" s="428"/>
      <c r="AB28" s="429"/>
      <c r="AC28" s="176"/>
      <c r="AD28" s="186"/>
      <c r="AE28" s="168"/>
      <c r="AI28" s="410"/>
      <c r="AJ28" s="190" t="s">
        <v>289</v>
      </c>
      <c r="AK28" s="293" t="s">
        <v>427</v>
      </c>
      <c r="AL28" s="427"/>
      <c r="AM28" s="427"/>
      <c r="AN28" s="427"/>
      <c r="AO28" s="427"/>
      <c r="AP28" s="427"/>
      <c r="AQ28" s="427"/>
      <c r="AR28" s="428"/>
      <c r="AS28" s="429"/>
      <c r="AT28" s="320"/>
      <c r="AU28" s="186"/>
      <c r="AV28" s="168"/>
    </row>
    <row r="29" spans="1:48" ht="14.4" customHeight="1">
      <c r="A29" s="377" t="s">
        <v>290</v>
      </c>
      <c r="B29" s="380" t="s">
        <v>291</v>
      </c>
      <c r="C29" s="383" t="s">
        <v>535</v>
      </c>
      <c r="D29" s="386" t="s">
        <v>274</v>
      </c>
      <c r="E29" s="387"/>
      <c r="F29" s="387"/>
      <c r="G29" s="387"/>
      <c r="H29" s="388"/>
      <c r="I29" s="171"/>
      <c r="J29" s="389"/>
      <c r="K29" s="390"/>
      <c r="L29" s="477">
        <f>I33</f>
        <v>1160296.3097913736</v>
      </c>
      <c r="M29" s="361" t="s">
        <v>455</v>
      </c>
      <c r="N29" s="168"/>
      <c r="R29" s="377" t="s">
        <v>290</v>
      </c>
      <c r="S29" s="380" t="s">
        <v>291</v>
      </c>
      <c r="T29" s="383" t="s">
        <v>536</v>
      </c>
      <c r="U29" s="386" t="s">
        <v>274</v>
      </c>
      <c r="V29" s="387"/>
      <c r="W29" s="387"/>
      <c r="X29" s="387"/>
      <c r="Y29" s="388"/>
      <c r="Z29" s="171"/>
      <c r="AA29" s="389"/>
      <c r="AB29" s="390"/>
      <c r="AC29" s="477">
        <f>Z33</f>
        <v>817665.58219108125</v>
      </c>
      <c r="AD29" s="361" t="s">
        <v>455</v>
      </c>
      <c r="AE29" s="168"/>
      <c r="AI29" s="377" t="s">
        <v>290</v>
      </c>
      <c r="AJ29" s="380" t="s">
        <v>291</v>
      </c>
      <c r="AK29" s="383" t="s">
        <v>537</v>
      </c>
      <c r="AL29" s="386" t="s">
        <v>274</v>
      </c>
      <c r="AM29" s="387"/>
      <c r="AN29" s="387"/>
      <c r="AO29" s="387"/>
      <c r="AP29" s="388"/>
      <c r="AQ29" s="171"/>
      <c r="AR29" s="389"/>
      <c r="AS29" s="390"/>
      <c r="AT29" s="358">
        <f>AQ33</f>
        <v>580801.73217106657</v>
      </c>
      <c r="AU29" s="361" t="s">
        <v>455</v>
      </c>
      <c r="AV29" s="168"/>
    </row>
    <row r="30" spans="1:48">
      <c r="A30" s="378"/>
      <c r="B30" s="381"/>
      <c r="C30" s="384"/>
      <c r="D30" s="364" t="s">
        <v>275</v>
      </c>
      <c r="E30" s="365"/>
      <c r="F30" s="365"/>
      <c r="G30" s="365"/>
      <c r="H30" s="365"/>
      <c r="I30" s="366"/>
      <c r="J30" s="391"/>
      <c r="K30" s="392"/>
      <c r="L30" s="478"/>
      <c r="M30" s="362"/>
      <c r="N30" s="168"/>
      <c r="R30" s="378"/>
      <c r="S30" s="381"/>
      <c r="T30" s="384"/>
      <c r="U30" s="364" t="s">
        <v>275</v>
      </c>
      <c r="V30" s="365"/>
      <c r="W30" s="365"/>
      <c r="X30" s="365"/>
      <c r="Y30" s="365"/>
      <c r="Z30" s="366"/>
      <c r="AA30" s="391"/>
      <c r="AB30" s="392"/>
      <c r="AC30" s="478"/>
      <c r="AD30" s="362"/>
      <c r="AE30" s="168"/>
      <c r="AI30" s="378"/>
      <c r="AJ30" s="381"/>
      <c r="AK30" s="384"/>
      <c r="AL30" s="364" t="s">
        <v>275</v>
      </c>
      <c r="AM30" s="365"/>
      <c r="AN30" s="365"/>
      <c r="AO30" s="365"/>
      <c r="AP30" s="365"/>
      <c r="AQ30" s="366"/>
      <c r="AR30" s="391"/>
      <c r="AS30" s="392"/>
      <c r="AT30" s="359"/>
      <c r="AU30" s="362"/>
      <c r="AV30" s="168"/>
    </row>
    <row r="31" spans="1:48">
      <c r="A31" s="378"/>
      <c r="B31" s="381"/>
      <c r="C31" s="384"/>
      <c r="D31" s="367" t="s">
        <v>276</v>
      </c>
      <c r="E31" s="368"/>
      <c r="F31" s="369" t="s">
        <v>277</v>
      </c>
      <c r="G31" s="368"/>
      <c r="H31" s="368" t="s">
        <v>278</v>
      </c>
      <c r="I31" s="370"/>
      <c r="J31" s="391"/>
      <c r="K31" s="392"/>
      <c r="L31" s="478"/>
      <c r="M31" s="362"/>
      <c r="N31" s="168"/>
      <c r="R31" s="378"/>
      <c r="S31" s="381"/>
      <c r="T31" s="384"/>
      <c r="U31" s="367" t="s">
        <v>276</v>
      </c>
      <c r="V31" s="368"/>
      <c r="W31" s="369" t="s">
        <v>277</v>
      </c>
      <c r="X31" s="368"/>
      <c r="Y31" s="368" t="s">
        <v>278</v>
      </c>
      <c r="Z31" s="370"/>
      <c r="AA31" s="391"/>
      <c r="AB31" s="392"/>
      <c r="AC31" s="478"/>
      <c r="AD31" s="362"/>
      <c r="AE31" s="168"/>
      <c r="AI31" s="378"/>
      <c r="AJ31" s="381"/>
      <c r="AK31" s="384"/>
      <c r="AL31" s="367" t="s">
        <v>276</v>
      </c>
      <c r="AM31" s="368"/>
      <c r="AN31" s="369" t="s">
        <v>277</v>
      </c>
      <c r="AO31" s="368"/>
      <c r="AP31" s="368" t="s">
        <v>278</v>
      </c>
      <c r="AQ31" s="370"/>
      <c r="AR31" s="391"/>
      <c r="AS31" s="392"/>
      <c r="AT31" s="359"/>
      <c r="AU31" s="362"/>
      <c r="AV31" s="168"/>
    </row>
    <row r="32" spans="1:48" ht="15" thickBot="1">
      <c r="A32" s="378"/>
      <c r="B32" s="381"/>
      <c r="C32" s="384"/>
      <c r="D32" s="371"/>
      <c r="E32" s="372"/>
      <c r="F32" s="373"/>
      <c r="G32" s="373"/>
      <c r="H32" s="373"/>
      <c r="I32" s="374"/>
      <c r="J32" s="391"/>
      <c r="K32" s="392"/>
      <c r="L32" s="478"/>
      <c r="M32" s="362"/>
      <c r="N32" s="168"/>
      <c r="R32" s="378"/>
      <c r="S32" s="381"/>
      <c r="T32" s="384"/>
      <c r="U32" s="371"/>
      <c r="V32" s="372"/>
      <c r="W32" s="373"/>
      <c r="X32" s="373"/>
      <c r="Y32" s="373"/>
      <c r="Z32" s="374"/>
      <c r="AA32" s="391"/>
      <c r="AB32" s="392"/>
      <c r="AC32" s="478"/>
      <c r="AD32" s="362"/>
      <c r="AE32" s="168"/>
      <c r="AI32" s="378"/>
      <c r="AJ32" s="381"/>
      <c r="AK32" s="384"/>
      <c r="AL32" s="371"/>
      <c r="AM32" s="372"/>
      <c r="AN32" s="373"/>
      <c r="AO32" s="373"/>
      <c r="AP32" s="373"/>
      <c r="AQ32" s="374"/>
      <c r="AR32" s="391"/>
      <c r="AS32" s="392"/>
      <c r="AT32" s="359"/>
      <c r="AU32" s="362"/>
      <c r="AV32" s="168"/>
    </row>
    <row r="33" spans="1:48" ht="24.6" customHeight="1" thickTop="1">
      <c r="A33" s="378"/>
      <c r="B33" s="382"/>
      <c r="C33" s="385"/>
      <c r="D33" s="375" t="s">
        <v>428</v>
      </c>
      <c r="E33" s="375"/>
      <c r="F33" s="375"/>
      <c r="G33" s="375"/>
      <c r="H33" s="376"/>
      <c r="I33" s="286">
        <f>'AMCB Table'!B9</f>
        <v>1160296.3097913736</v>
      </c>
      <c r="J33" s="393"/>
      <c r="K33" s="394"/>
      <c r="L33" s="479"/>
      <c r="M33" s="363"/>
      <c r="N33" s="168"/>
      <c r="R33" s="378"/>
      <c r="S33" s="382"/>
      <c r="T33" s="385"/>
      <c r="U33" s="375" t="s">
        <v>428</v>
      </c>
      <c r="V33" s="375"/>
      <c r="W33" s="375"/>
      <c r="X33" s="375"/>
      <c r="Y33" s="376"/>
      <c r="Z33" s="286">
        <f>'AMCB Table'!F9</f>
        <v>817665.58219108125</v>
      </c>
      <c r="AA33" s="393"/>
      <c r="AB33" s="394"/>
      <c r="AC33" s="479"/>
      <c r="AD33" s="363"/>
      <c r="AE33" s="168"/>
      <c r="AI33" s="378"/>
      <c r="AJ33" s="382"/>
      <c r="AK33" s="385"/>
      <c r="AL33" s="375" t="s">
        <v>428</v>
      </c>
      <c r="AM33" s="375"/>
      <c r="AN33" s="375"/>
      <c r="AO33" s="375"/>
      <c r="AP33" s="376"/>
      <c r="AQ33" s="286">
        <f>'AMCB Table'!J9</f>
        <v>580801.73217106657</v>
      </c>
      <c r="AR33" s="393"/>
      <c r="AS33" s="394"/>
      <c r="AT33" s="360"/>
      <c r="AU33" s="363"/>
      <c r="AV33" s="168"/>
    </row>
    <row r="34" spans="1:48" ht="55.2" customHeight="1">
      <c r="A34" s="378"/>
      <c r="B34" s="210" t="s">
        <v>292</v>
      </c>
      <c r="C34" s="287" t="s">
        <v>445</v>
      </c>
      <c r="D34" s="395" t="s">
        <v>453</v>
      </c>
      <c r="E34" s="395"/>
      <c r="F34" s="395"/>
      <c r="G34" s="395"/>
      <c r="H34" s="395"/>
      <c r="I34" s="395"/>
      <c r="J34" s="395" t="s">
        <v>444</v>
      </c>
      <c r="K34" s="395"/>
      <c r="L34" s="203"/>
      <c r="M34" s="195"/>
      <c r="N34" s="168"/>
      <c r="R34" s="378"/>
      <c r="S34" s="197" t="s">
        <v>292</v>
      </c>
      <c r="T34" s="287" t="s">
        <v>445</v>
      </c>
      <c r="U34" s="395" t="s">
        <v>453</v>
      </c>
      <c r="V34" s="395"/>
      <c r="W34" s="395"/>
      <c r="X34" s="395"/>
      <c r="Y34" s="395"/>
      <c r="Z34" s="395"/>
      <c r="AA34" s="395" t="s">
        <v>444</v>
      </c>
      <c r="AB34" s="395"/>
      <c r="AC34" s="170"/>
      <c r="AD34" s="195"/>
      <c r="AE34" s="168"/>
      <c r="AI34" s="378"/>
      <c r="AJ34" s="210" t="s">
        <v>292</v>
      </c>
      <c r="AK34" s="287" t="s">
        <v>445</v>
      </c>
      <c r="AL34" s="395" t="s">
        <v>453</v>
      </c>
      <c r="AM34" s="395"/>
      <c r="AN34" s="395"/>
      <c r="AO34" s="395"/>
      <c r="AP34" s="395"/>
      <c r="AQ34" s="395"/>
      <c r="AR34" s="395" t="s">
        <v>444</v>
      </c>
      <c r="AS34" s="395"/>
      <c r="AT34" s="319"/>
      <c r="AU34" s="195"/>
      <c r="AV34" s="168"/>
    </row>
    <row r="35" spans="1:48" ht="55.2" customHeight="1">
      <c r="A35" s="378"/>
      <c r="B35" s="210" t="s">
        <v>293</v>
      </c>
      <c r="C35" s="287" t="s">
        <v>447</v>
      </c>
      <c r="D35" s="396" t="s">
        <v>548</v>
      </c>
      <c r="E35" s="397"/>
      <c r="F35" s="397"/>
      <c r="G35" s="397"/>
      <c r="H35" s="397"/>
      <c r="I35" s="398"/>
      <c r="J35" s="395" t="s">
        <v>448</v>
      </c>
      <c r="K35" s="395"/>
      <c r="L35" s="296">
        <f>'AMCB Table'!B7</f>
        <v>18675465.303801958</v>
      </c>
      <c r="M35" s="195"/>
      <c r="N35" s="168"/>
      <c r="R35" s="378"/>
      <c r="S35" s="197" t="s">
        <v>293</v>
      </c>
      <c r="T35" s="287" t="s">
        <v>447</v>
      </c>
      <c r="U35" s="396" t="s">
        <v>528</v>
      </c>
      <c r="V35" s="397"/>
      <c r="W35" s="397"/>
      <c r="X35" s="397"/>
      <c r="Y35" s="397"/>
      <c r="Z35" s="398"/>
      <c r="AA35" s="395" t="s">
        <v>448</v>
      </c>
      <c r="AB35" s="395"/>
      <c r="AC35" s="296">
        <f>'AMCB Table'!F7</f>
        <v>13794481.55311537</v>
      </c>
      <c r="AD35" s="195"/>
      <c r="AE35" s="168"/>
      <c r="AI35" s="378"/>
      <c r="AJ35" s="210" t="s">
        <v>293</v>
      </c>
      <c r="AK35" s="287" t="s">
        <v>447</v>
      </c>
      <c r="AL35" s="396" t="s">
        <v>555</v>
      </c>
      <c r="AM35" s="397"/>
      <c r="AN35" s="397"/>
      <c r="AO35" s="397"/>
      <c r="AP35" s="397"/>
      <c r="AQ35" s="398"/>
      <c r="AR35" s="395" t="s">
        <v>448</v>
      </c>
      <c r="AS35" s="395"/>
      <c r="AT35" s="323">
        <f>'AMCB Table'!J7</f>
        <v>9335305.5130969677</v>
      </c>
      <c r="AU35" s="195"/>
      <c r="AV35" s="168"/>
    </row>
    <row r="36" spans="1:48" ht="65.400000000000006" customHeight="1">
      <c r="A36" s="378"/>
      <c r="B36" s="210" t="s">
        <v>294</v>
      </c>
      <c r="C36" s="287" t="s">
        <v>450</v>
      </c>
      <c r="D36" s="354" t="s">
        <v>549</v>
      </c>
      <c r="E36" s="355"/>
      <c r="F36" s="355"/>
      <c r="G36" s="355"/>
      <c r="H36" s="355"/>
      <c r="I36" s="356"/>
      <c r="J36" s="354" t="s">
        <v>449</v>
      </c>
      <c r="K36" s="356"/>
      <c r="L36" s="296">
        <f>'AMCB Table'!B6</f>
        <v>2110088.3962264559</v>
      </c>
      <c r="M36" s="195"/>
      <c r="N36" s="168"/>
      <c r="R36" s="378"/>
      <c r="S36" s="197" t="s">
        <v>294</v>
      </c>
      <c r="T36" s="287" t="s">
        <v>450</v>
      </c>
      <c r="U36" s="354" t="s">
        <v>529</v>
      </c>
      <c r="V36" s="355"/>
      <c r="W36" s="355"/>
      <c r="X36" s="355"/>
      <c r="Y36" s="355"/>
      <c r="Z36" s="356"/>
      <c r="AA36" s="354" t="s">
        <v>449</v>
      </c>
      <c r="AB36" s="356"/>
      <c r="AC36" s="296">
        <f>'AMCB Table'!F6</f>
        <v>1606960.9315923254</v>
      </c>
      <c r="AD36" s="195"/>
      <c r="AE36" s="168"/>
      <c r="AI36" s="378"/>
      <c r="AJ36" s="210" t="s">
        <v>294</v>
      </c>
      <c r="AK36" s="287" t="s">
        <v>450</v>
      </c>
      <c r="AL36" s="354" t="s">
        <v>556</v>
      </c>
      <c r="AM36" s="355"/>
      <c r="AN36" s="355"/>
      <c r="AO36" s="355"/>
      <c r="AP36" s="355"/>
      <c r="AQ36" s="356"/>
      <c r="AR36" s="354" t="s">
        <v>449</v>
      </c>
      <c r="AS36" s="356"/>
      <c r="AT36" s="323">
        <f>'AMCB Table'!J6</f>
        <v>1110763.9922014195</v>
      </c>
      <c r="AU36" s="195"/>
      <c r="AV36" s="168"/>
    </row>
    <row r="37" spans="1:48" ht="43.8" customHeight="1">
      <c r="A37" s="378"/>
      <c r="B37" s="210" t="s">
        <v>295</v>
      </c>
      <c r="C37" s="287" t="s">
        <v>451</v>
      </c>
      <c r="D37" s="395" t="s">
        <v>550</v>
      </c>
      <c r="E37" s="395"/>
      <c r="F37" s="395"/>
      <c r="G37" s="395"/>
      <c r="H37" s="395"/>
      <c r="I37" s="395"/>
      <c r="J37" s="395" t="s">
        <v>452</v>
      </c>
      <c r="K37" s="395"/>
      <c r="L37" s="296">
        <f>'AMCB Table'!B8</f>
        <v>196435.85106025386</v>
      </c>
      <c r="M37" s="298" t="s">
        <v>454</v>
      </c>
      <c r="N37" s="168"/>
      <c r="R37" s="378"/>
      <c r="S37" s="197" t="s">
        <v>295</v>
      </c>
      <c r="T37" s="287" t="s">
        <v>451</v>
      </c>
      <c r="U37" s="395" t="s">
        <v>530</v>
      </c>
      <c r="V37" s="395"/>
      <c r="W37" s="395"/>
      <c r="X37" s="395"/>
      <c r="Y37" s="395"/>
      <c r="Z37" s="395"/>
      <c r="AA37" s="395" t="s">
        <v>452</v>
      </c>
      <c r="AB37" s="395"/>
      <c r="AC37" s="296">
        <f>'AMCB Table'!F8</f>
        <v>138429.15224755221</v>
      </c>
      <c r="AD37" s="298" t="s">
        <v>454</v>
      </c>
      <c r="AE37" s="168"/>
      <c r="AI37" s="378"/>
      <c r="AJ37" s="210" t="s">
        <v>295</v>
      </c>
      <c r="AK37" s="287" t="s">
        <v>451</v>
      </c>
      <c r="AL37" s="395" t="s">
        <v>557</v>
      </c>
      <c r="AM37" s="395"/>
      <c r="AN37" s="395"/>
      <c r="AO37" s="395"/>
      <c r="AP37" s="395"/>
      <c r="AQ37" s="395"/>
      <c r="AR37" s="395" t="s">
        <v>452</v>
      </c>
      <c r="AS37" s="395"/>
      <c r="AT37" s="323">
        <f>'AMCB Table'!J8</f>
        <v>98328.574859302142</v>
      </c>
      <c r="AU37" s="298" t="s">
        <v>454</v>
      </c>
      <c r="AV37" s="168"/>
    </row>
    <row r="38" spans="1:48">
      <c r="A38" s="378"/>
      <c r="B38" s="198" t="s">
        <v>296</v>
      </c>
      <c r="C38" s="293" t="s">
        <v>427</v>
      </c>
      <c r="D38" s="395"/>
      <c r="E38" s="395"/>
      <c r="F38" s="395"/>
      <c r="G38" s="395"/>
      <c r="H38" s="395"/>
      <c r="I38" s="395"/>
      <c r="J38" s="395"/>
      <c r="K38" s="395"/>
      <c r="L38" s="203"/>
      <c r="M38" s="298"/>
      <c r="N38" s="168"/>
      <c r="R38" s="378"/>
      <c r="S38" s="198" t="s">
        <v>296</v>
      </c>
      <c r="T38" s="293" t="s">
        <v>427</v>
      </c>
      <c r="U38" s="395"/>
      <c r="V38" s="395"/>
      <c r="W38" s="395"/>
      <c r="X38" s="395"/>
      <c r="Y38" s="395"/>
      <c r="Z38" s="395"/>
      <c r="AA38" s="395"/>
      <c r="AB38" s="395"/>
      <c r="AC38" s="170"/>
      <c r="AD38" s="298"/>
      <c r="AE38" s="168"/>
      <c r="AI38" s="378"/>
      <c r="AJ38" s="198" t="s">
        <v>296</v>
      </c>
      <c r="AK38" s="293" t="s">
        <v>427</v>
      </c>
      <c r="AL38" s="395"/>
      <c r="AM38" s="395"/>
      <c r="AN38" s="395"/>
      <c r="AO38" s="395"/>
      <c r="AP38" s="395"/>
      <c r="AQ38" s="395"/>
      <c r="AR38" s="395"/>
      <c r="AS38" s="395"/>
      <c r="AT38" s="319"/>
      <c r="AU38" s="298"/>
      <c r="AV38" s="168"/>
    </row>
    <row r="39" spans="1:48" ht="40.799999999999997" customHeight="1">
      <c r="A39" s="378"/>
      <c r="B39" s="198" t="s">
        <v>297</v>
      </c>
      <c r="C39" s="287" t="s">
        <v>459</v>
      </c>
      <c r="D39" s="395" t="s">
        <v>453</v>
      </c>
      <c r="E39" s="395"/>
      <c r="F39" s="395"/>
      <c r="G39" s="395"/>
      <c r="H39" s="395"/>
      <c r="I39" s="395"/>
      <c r="J39" s="399" t="s">
        <v>460</v>
      </c>
      <c r="K39" s="399"/>
      <c r="L39" s="203"/>
      <c r="M39" s="298" t="s">
        <v>456</v>
      </c>
      <c r="N39" s="168"/>
      <c r="R39" s="378"/>
      <c r="S39" s="198" t="s">
        <v>297</v>
      </c>
      <c r="T39" s="287" t="s">
        <v>459</v>
      </c>
      <c r="U39" s="395" t="s">
        <v>453</v>
      </c>
      <c r="V39" s="395"/>
      <c r="W39" s="395"/>
      <c r="X39" s="395"/>
      <c r="Y39" s="395"/>
      <c r="Z39" s="395"/>
      <c r="AA39" s="399" t="s">
        <v>460</v>
      </c>
      <c r="AB39" s="399"/>
      <c r="AC39" s="170"/>
      <c r="AD39" s="298" t="s">
        <v>456</v>
      </c>
      <c r="AE39" s="168"/>
      <c r="AI39" s="378"/>
      <c r="AJ39" s="198" t="s">
        <v>297</v>
      </c>
      <c r="AK39" s="287" t="s">
        <v>459</v>
      </c>
      <c r="AL39" s="395" t="s">
        <v>453</v>
      </c>
      <c r="AM39" s="395"/>
      <c r="AN39" s="395"/>
      <c r="AO39" s="395"/>
      <c r="AP39" s="395"/>
      <c r="AQ39" s="395"/>
      <c r="AR39" s="399" t="s">
        <v>460</v>
      </c>
      <c r="AS39" s="399"/>
      <c r="AT39" s="319"/>
      <c r="AU39" s="298" t="s">
        <v>456</v>
      </c>
      <c r="AV39" s="168"/>
    </row>
    <row r="40" spans="1:48" ht="30.6">
      <c r="A40" s="378"/>
      <c r="B40" s="198" t="s">
        <v>298</v>
      </c>
      <c r="C40" s="287" t="s">
        <v>457</v>
      </c>
      <c r="D40" s="395" t="s">
        <v>453</v>
      </c>
      <c r="E40" s="395"/>
      <c r="F40" s="395"/>
      <c r="G40" s="395"/>
      <c r="H40" s="395"/>
      <c r="I40" s="395"/>
      <c r="J40" s="395" t="s">
        <v>470</v>
      </c>
      <c r="K40" s="395"/>
      <c r="L40" s="203"/>
      <c r="M40" s="298" t="s">
        <v>471</v>
      </c>
      <c r="N40" s="168"/>
      <c r="R40" s="378"/>
      <c r="S40" s="198" t="s">
        <v>298</v>
      </c>
      <c r="T40" s="287" t="s">
        <v>457</v>
      </c>
      <c r="U40" s="395" t="s">
        <v>453</v>
      </c>
      <c r="V40" s="395"/>
      <c r="W40" s="395"/>
      <c r="X40" s="395"/>
      <c r="Y40" s="395"/>
      <c r="Z40" s="395"/>
      <c r="AA40" s="395" t="s">
        <v>470</v>
      </c>
      <c r="AB40" s="395"/>
      <c r="AC40" s="170"/>
      <c r="AD40" s="298" t="s">
        <v>471</v>
      </c>
      <c r="AE40" s="168"/>
      <c r="AI40" s="378"/>
      <c r="AJ40" s="198" t="s">
        <v>298</v>
      </c>
      <c r="AK40" s="287" t="s">
        <v>457</v>
      </c>
      <c r="AL40" s="395" t="s">
        <v>453</v>
      </c>
      <c r="AM40" s="395"/>
      <c r="AN40" s="395"/>
      <c r="AO40" s="395"/>
      <c r="AP40" s="395"/>
      <c r="AQ40" s="395"/>
      <c r="AR40" s="395" t="s">
        <v>470</v>
      </c>
      <c r="AS40" s="395"/>
      <c r="AT40" s="319"/>
      <c r="AU40" s="298" t="s">
        <v>471</v>
      </c>
      <c r="AV40" s="168"/>
    </row>
    <row r="41" spans="1:48" ht="30.6">
      <c r="A41" s="378"/>
      <c r="B41" s="198" t="s">
        <v>299</v>
      </c>
      <c r="C41" s="287" t="s">
        <v>458</v>
      </c>
      <c r="D41" s="395" t="s">
        <v>453</v>
      </c>
      <c r="E41" s="395"/>
      <c r="F41" s="395"/>
      <c r="G41" s="395"/>
      <c r="H41" s="395"/>
      <c r="I41" s="395"/>
      <c r="J41" s="395"/>
      <c r="K41" s="395"/>
      <c r="L41" s="203"/>
      <c r="M41" s="208"/>
      <c r="N41" s="168"/>
      <c r="R41" s="378"/>
      <c r="S41" s="198" t="s">
        <v>299</v>
      </c>
      <c r="T41" s="287" t="s">
        <v>458</v>
      </c>
      <c r="U41" s="395" t="s">
        <v>453</v>
      </c>
      <c r="V41" s="395"/>
      <c r="W41" s="395"/>
      <c r="X41" s="395"/>
      <c r="Y41" s="395"/>
      <c r="Z41" s="395"/>
      <c r="AA41" s="395"/>
      <c r="AB41" s="395"/>
      <c r="AC41" s="170"/>
      <c r="AD41" s="175"/>
      <c r="AE41" s="168"/>
      <c r="AI41" s="378"/>
      <c r="AJ41" s="198" t="s">
        <v>299</v>
      </c>
      <c r="AK41" s="287" t="s">
        <v>458</v>
      </c>
      <c r="AL41" s="395" t="s">
        <v>453</v>
      </c>
      <c r="AM41" s="395"/>
      <c r="AN41" s="395"/>
      <c r="AO41" s="395"/>
      <c r="AP41" s="395"/>
      <c r="AQ41" s="395"/>
      <c r="AR41" s="395"/>
      <c r="AS41" s="395"/>
      <c r="AT41" s="319"/>
      <c r="AU41" s="208"/>
      <c r="AV41" s="168"/>
    </row>
    <row r="42" spans="1:48" ht="21" thickBot="1">
      <c r="A42" s="379"/>
      <c r="B42" s="199" t="s">
        <v>300</v>
      </c>
      <c r="C42" s="297"/>
      <c r="D42" s="357"/>
      <c r="E42" s="357"/>
      <c r="F42" s="357"/>
      <c r="G42" s="357"/>
      <c r="H42" s="357"/>
      <c r="I42" s="357"/>
      <c r="J42" s="357"/>
      <c r="K42" s="357"/>
      <c r="L42" s="204"/>
      <c r="M42" s="185"/>
      <c r="N42" s="168"/>
      <c r="R42" s="379"/>
      <c r="S42" s="199" t="s">
        <v>300</v>
      </c>
      <c r="T42" s="297"/>
      <c r="U42" s="357"/>
      <c r="V42" s="357"/>
      <c r="W42" s="357"/>
      <c r="X42" s="357"/>
      <c r="Y42" s="357"/>
      <c r="Z42" s="357"/>
      <c r="AA42" s="357"/>
      <c r="AB42" s="357"/>
      <c r="AC42" s="176"/>
      <c r="AD42" s="185"/>
      <c r="AE42" s="168"/>
      <c r="AI42" s="379"/>
      <c r="AJ42" s="199" t="s">
        <v>300</v>
      </c>
      <c r="AK42" s="297"/>
      <c r="AL42" s="357"/>
      <c r="AM42" s="357"/>
      <c r="AN42" s="357"/>
      <c r="AO42" s="357"/>
      <c r="AP42" s="357"/>
      <c r="AQ42" s="357"/>
      <c r="AR42" s="357"/>
      <c r="AS42" s="357"/>
      <c r="AT42" s="320"/>
      <c r="AU42" s="185"/>
      <c r="AV42" s="168"/>
    </row>
    <row r="43" spans="1:48" ht="21" thickBot="1">
      <c r="A43" s="347" t="s">
        <v>301</v>
      </c>
      <c r="B43" s="200" t="s">
        <v>302</v>
      </c>
      <c r="C43" s="196" t="s">
        <v>474</v>
      </c>
      <c r="D43" s="350" t="s">
        <v>426</v>
      </c>
      <c r="E43" s="350"/>
      <c r="F43" s="350"/>
      <c r="G43" s="350"/>
      <c r="H43" s="350"/>
      <c r="I43" s="350"/>
      <c r="J43" s="350" t="s">
        <v>426</v>
      </c>
      <c r="K43" s="350"/>
      <c r="L43" s="299">
        <f>0-'AMCB Table'!B16</f>
        <v>-17777627.794547752</v>
      </c>
      <c r="M43" s="184"/>
      <c r="N43" s="168"/>
      <c r="R43" s="347" t="s">
        <v>301</v>
      </c>
      <c r="S43" s="200" t="s">
        <v>302</v>
      </c>
      <c r="T43" s="342" t="s">
        <v>474</v>
      </c>
      <c r="U43" s="350" t="s">
        <v>426</v>
      </c>
      <c r="V43" s="350"/>
      <c r="W43" s="350"/>
      <c r="X43" s="350"/>
      <c r="Y43" s="350"/>
      <c r="Z43" s="350"/>
      <c r="AA43" s="350" t="s">
        <v>426</v>
      </c>
      <c r="AB43" s="350"/>
      <c r="AC43" s="299">
        <f>0-'AMCB Table'!F16</f>
        <v>-17777627.794547752</v>
      </c>
      <c r="AD43" s="184"/>
      <c r="AE43" s="168"/>
      <c r="AI43" s="347" t="s">
        <v>301</v>
      </c>
      <c r="AJ43" s="200" t="s">
        <v>302</v>
      </c>
      <c r="AK43" s="196" t="s">
        <v>474</v>
      </c>
      <c r="AL43" s="350" t="s">
        <v>426</v>
      </c>
      <c r="AM43" s="350"/>
      <c r="AN43" s="350"/>
      <c r="AO43" s="350"/>
      <c r="AP43" s="350"/>
      <c r="AQ43" s="350"/>
      <c r="AR43" s="350" t="s">
        <v>426</v>
      </c>
      <c r="AS43" s="350"/>
      <c r="AT43" s="324">
        <f>0-'AMCB Table'!J16</f>
        <v>-17777627.794547752</v>
      </c>
      <c r="AU43" s="184"/>
      <c r="AV43" s="168"/>
    </row>
    <row r="44" spans="1:48" ht="56.4" customHeight="1">
      <c r="A44" s="348"/>
      <c r="B44" s="198" t="s">
        <v>205</v>
      </c>
      <c r="C44" s="287" t="s">
        <v>497</v>
      </c>
      <c r="D44" s="351" t="s">
        <v>551</v>
      </c>
      <c r="E44" s="352"/>
      <c r="F44" s="352"/>
      <c r="G44" s="352"/>
      <c r="H44" s="352"/>
      <c r="I44" s="353"/>
      <c r="J44" s="350" t="s">
        <v>469</v>
      </c>
      <c r="K44" s="350"/>
      <c r="L44" s="296">
        <f>SUM(('Streets for People AMAT'!B104+'School Streets AMAT'!B104)*1000)+'Highway maintenance model'!N15</f>
        <v>8126291.27304608</v>
      </c>
      <c r="M44" s="301"/>
      <c r="N44" s="168"/>
      <c r="R44" s="348"/>
      <c r="S44" s="198" t="s">
        <v>205</v>
      </c>
      <c r="T44" s="287" t="s">
        <v>497</v>
      </c>
      <c r="U44" s="351" t="s">
        <v>531</v>
      </c>
      <c r="V44" s="352"/>
      <c r="W44" s="352"/>
      <c r="X44" s="352"/>
      <c r="Y44" s="352"/>
      <c r="Z44" s="353"/>
      <c r="AA44" s="350" t="s">
        <v>469</v>
      </c>
      <c r="AB44" s="350"/>
      <c r="AC44" s="296">
        <f>SUM(('Streets for People AMAT'!B81+'School Streets AMAT'!B81)*1000)+'Highway maintenance model'!N22</f>
        <v>6094421.8635829724</v>
      </c>
      <c r="AD44" s="301"/>
      <c r="AE44" s="168"/>
      <c r="AI44" s="348"/>
      <c r="AJ44" s="198" t="s">
        <v>205</v>
      </c>
      <c r="AK44" s="287" t="s">
        <v>497</v>
      </c>
      <c r="AL44" s="351" t="s">
        <v>558</v>
      </c>
      <c r="AM44" s="352"/>
      <c r="AN44" s="352"/>
      <c r="AO44" s="352"/>
      <c r="AP44" s="352"/>
      <c r="AQ44" s="353"/>
      <c r="AR44" s="350" t="s">
        <v>469</v>
      </c>
      <c r="AS44" s="350"/>
      <c r="AT44" s="323">
        <f>SUM(('Streets for People AMAT'!B127+'School Streets AMAT'!B127)*1000)+'Highway maintenance model'!N29</f>
        <v>4063149.3248340129</v>
      </c>
      <c r="AU44" s="301"/>
      <c r="AV44" s="168"/>
    </row>
    <row r="45" spans="1:48" ht="58.8" customHeight="1" thickBot="1">
      <c r="A45" s="348"/>
      <c r="B45" s="198" t="s">
        <v>463</v>
      </c>
      <c r="C45" s="287" t="s">
        <v>464</v>
      </c>
      <c r="D45" s="354" t="s">
        <v>472</v>
      </c>
      <c r="E45" s="355"/>
      <c r="F45" s="355"/>
      <c r="G45" s="355"/>
      <c r="H45" s="355"/>
      <c r="I45" s="356"/>
      <c r="J45" s="354" t="s">
        <v>473</v>
      </c>
      <c r="K45" s="356"/>
      <c r="L45" s="296">
        <f>SUM('LED Street lights'!D83)</f>
        <v>9123182.4658652246</v>
      </c>
      <c r="M45" s="301"/>
      <c r="N45" s="168"/>
      <c r="R45" s="348"/>
      <c r="S45" s="198" t="s">
        <v>463</v>
      </c>
      <c r="T45" s="287" t="s">
        <v>465</v>
      </c>
      <c r="U45" s="354" t="s">
        <v>472</v>
      </c>
      <c r="V45" s="355"/>
      <c r="W45" s="355"/>
      <c r="X45" s="355"/>
      <c r="Y45" s="355"/>
      <c r="Z45" s="356"/>
      <c r="AA45" s="354" t="s">
        <v>473</v>
      </c>
      <c r="AB45" s="356"/>
      <c r="AC45" s="296">
        <f>SUM('LED Street lights'!D83)</f>
        <v>9123182.4658652246</v>
      </c>
      <c r="AD45" s="301"/>
      <c r="AE45" s="168"/>
      <c r="AI45" s="348"/>
      <c r="AJ45" s="198" t="s">
        <v>463</v>
      </c>
      <c r="AK45" s="287" t="s">
        <v>465</v>
      </c>
      <c r="AL45" s="354" t="s">
        <v>505</v>
      </c>
      <c r="AM45" s="355"/>
      <c r="AN45" s="355"/>
      <c r="AO45" s="355"/>
      <c r="AP45" s="355"/>
      <c r="AQ45" s="356"/>
      <c r="AR45" s="354" t="s">
        <v>473</v>
      </c>
      <c r="AS45" s="356"/>
      <c r="AT45" s="323">
        <f>SUM('LED Street lights'!D56)</f>
        <v>6648055.7102256753</v>
      </c>
      <c r="AU45" s="301"/>
      <c r="AV45" s="168"/>
    </row>
    <row r="46" spans="1:48" ht="54.6" customHeight="1" thickBot="1">
      <c r="A46" s="349"/>
      <c r="B46" s="199" t="s">
        <v>303</v>
      </c>
      <c r="C46" s="297" t="s">
        <v>461</v>
      </c>
      <c r="D46" s="351" t="s">
        <v>552</v>
      </c>
      <c r="E46" s="352"/>
      <c r="F46" s="352"/>
      <c r="G46" s="352"/>
      <c r="H46" s="352"/>
      <c r="I46" s="353"/>
      <c r="J46" s="357" t="s">
        <v>462</v>
      </c>
      <c r="K46" s="357"/>
      <c r="L46" s="300">
        <f>SUM(('Streets for People AMAT'!B113+'School Streets AMAT'!B113)*1000)</f>
        <v>-98978.947040194704</v>
      </c>
      <c r="M46" s="183"/>
      <c r="N46" s="168"/>
      <c r="R46" s="349"/>
      <c r="S46" s="199" t="s">
        <v>303</v>
      </c>
      <c r="T46" s="297" t="s">
        <v>461</v>
      </c>
      <c r="U46" s="351" t="s">
        <v>526</v>
      </c>
      <c r="V46" s="352"/>
      <c r="W46" s="352"/>
      <c r="X46" s="352"/>
      <c r="Y46" s="352"/>
      <c r="Z46" s="353"/>
      <c r="AA46" s="357" t="s">
        <v>462</v>
      </c>
      <c r="AB46" s="357"/>
      <c r="AC46" s="300">
        <f>SUM(('Streets for People AMAT'!B90+'School Streets AMAT'!B90)*1000)</f>
        <v>-69750.871112253124</v>
      </c>
      <c r="AD46" s="183"/>
      <c r="AE46" s="168"/>
      <c r="AI46" s="349"/>
      <c r="AJ46" s="199" t="s">
        <v>303</v>
      </c>
      <c r="AK46" s="297" t="s">
        <v>461</v>
      </c>
      <c r="AL46" s="351" t="s">
        <v>553</v>
      </c>
      <c r="AM46" s="352"/>
      <c r="AN46" s="352"/>
      <c r="AO46" s="352"/>
      <c r="AP46" s="352"/>
      <c r="AQ46" s="353"/>
      <c r="AR46" s="357" t="s">
        <v>462</v>
      </c>
      <c r="AS46" s="357"/>
      <c r="AT46" s="325">
        <f>SUM(('Streets for People AMAT'!B136+'School Streets AMAT'!B136)*1000)</f>
        <v>-49545.226856534427</v>
      </c>
      <c r="AU46" s="183"/>
      <c r="AV46" s="168"/>
    </row>
    <row r="47" spans="1:48" ht="15" thickBot="1">
      <c r="A47" s="216"/>
      <c r="B47" s="177"/>
      <c r="C47" s="178"/>
      <c r="D47" s="178"/>
      <c r="E47" s="178"/>
      <c r="F47" s="178"/>
      <c r="G47" s="178"/>
      <c r="H47" s="178"/>
      <c r="I47" s="178"/>
      <c r="J47" s="178"/>
      <c r="K47" s="178"/>
      <c r="L47" s="179"/>
      <c r="M47" s="180"/>
      <c r="N47" s="181"/>
      <c r="R47" s="216"/>
      <c r="S47" s="177"/>
      <c r="T47" s="178"/>
      <c r="U47" s="178"/>
      <c r="V47" s="178"/>
      <c r="W47" s="178"/>
      <c r="X47" s="178"/>
      <c r="Y47" s="178"/>
      <c r="Z47" s="178"/>
      <c r="AA47" s="178"/>
      <c r="AB47" s="178"/>
      <c r="AC47" s="179"/>
      <c r="AD47" s="180"/>
      <c r="AE47" s="181"/>
      <c r="AI47" s="216"/>
      <c r="AJ47" s="177"/>
      <c r="AK47" s="178"/>
      <c r="AL47" s="178"/>
      <c r="AM47" s="178"/>
      <c r="AN47" s="178"/>
      <c r="AO47" s="178"/>
      <c r="AP47" s="178"/>
      <c r="AQ47" s="178"/>
      <c r="AR47" s="178"/>
      <c r="AS47" s="178"/>
      <c r="AT47" s="179"/>
      <c r="AU47" s="180"/>
      <c r="AV47" s="181"/>
    </row>
    <row r="49" spans="12:47">
      <c r="L49" s="100">
        <f>SUM(L14:L46)</f>
        <v>27334574.734291583</v>
      </c>
      <c r="M49" s="99" t="s">
        <v>545</v>
      </c>
      <c r="AC49" s="346">
        <f>SUM(AC14:AC46)</f>
        <v>18835485.051034242</v>
      </c>
      <c r="AD49" s="99" t="s">
        <v>545</v>
      </c>
      <c r="AT49" s="100">
        <f>SUM(AT14:AT46)</f>
        <v>7808665.3218071712</v>
      </c>
      <c r="AU49" s="99" t="s">
        <v>545</v>
      </c>
    </row>
    <row r="50" spans="12:47">
      <c r="L50" s="341">
        <f>'AMCB Table'!B21-L49</f>
        <v>0</v>
      </c>
      <c r="M50" s="99" t="s">
        <v>544</v>
      </c>
      <c r="AC50" s="14">
        <f>'AMCB Table'!F21-AST!AC49</f>
        <v>0</v>
      </c>
      <c r="AD50" s="99" t="s">
        <v>544</v>
      </c>
      <c r="AT50" s="341">
        <f>'AMCB Table'!J21-AST!AT49</f>
        <v>0</v>
      </c>
      <c r="AU50" s="99" t="s">
        <v>544</v>
      </c>
    </row>
  </sheetData>
  <mergeCells count="276">
    <mergeCell ref="AD14:AD16"/>
    <mergeCell ref="AA14:AB16"/>
    <mergeCell ref="AC14:AC16"/>
    <mergeCell ref="W16:X16"/>
    <mergeCell ref="Y16:Z16"/>
    <mergeCell ref="U12:Z13"/>
    <mergeCell ref="R11:S11"/>
    <mergeCell ref="R7:S7"/>
    <mergeCell ref="R8:S9"/>
    <mergeCell ref="U14:Y14"/>
    <mergeCell ref="T8:AB9"/>
    <mergeCell ref="AA13:AB13"/>
    <mergeCell ref="U11:AD11"/>
    <mergeCell ref="AA12:AB12"/>
    <mergeCell ref="T7:AB7"/>
    <mergeCell ref="S14:S16"/>
    <mergeCell ref="R14:R19"/>
    <mergeCell ref="T14:T16"/>
    <mergeCell ref="AC5:AD6"/>
    <mergeCell ref="AA17:AB17"/>
    <mergeCell ref="U32:V32"/>
    <mergeCell ref="W32:X32"/>
    <mergeCell ref="Y32:Z32"/>
    <mergeCell ref="AD22:AD23"/>
    <mergeCell ref="AC22:AC23"/>
    <mergeCell ref="AA21:AB21"/>
    <mergeCell ref="U19:Z19"/>
    <mergeCell ref="U21:Z21"/>
    <mergeCell ref="AA24:AB24"/>
    <mergeCell ref="AA22:AB23"/>
    <mergeCell ref="U18:Z18"/>
    <mergeCell ref="AA18:AB18"/>
    <mergeCell ref="AA20:AB20"/>
    <mergeCell ref="AA19:AB19"/>
    <mergeCell ref="U24:Z24"/>
    <mergeCell ref="U23:Y23"/>
    <mergeCell ref="U22:Y22"/>
    <mergeCell ref="U17:Z17"/>
    <mergeCell ref="U16:V16"/>
    <mergeCell ref="U29:Y29"/>
    <mergeCell ref="U26:Z26"/>
    <mergeCell ref="U31:V31"/>
    <mergeCell ref="AA46:AB46"/>
    <mergeCell ref="AA25:AB25"/>
    <mergeCell ref="AA38:AB38"/>
    <mergeCell ref="AA36:AB36"/>
    <mergeCell ref="AA41:AB41"/>
    <mergeCell ref="AA39:AB39"/>
    <mergeCell ref="AA42:AB42"/>
    <mergeCell ref="AA34:AB34"/>
    <mergeCell ref="AA40:AB40"/>
    <mergeCell ref="AA37:AB37"/>
    <mergeCell ref="AA26:AB26"/>
    <mergeCell ref="AA27:AB27"/>
    <mergeCell ref="AA28:AB28"/>
    <mergeCell ref="A14:A19"/>
    <mergeCell ref="B14:B16"/>
    <mergeCell ref="C14:C16"/>
    <mergeCell ref="S29:S33"/>
    <mergeCell ref="AA29:AB33"/>
    <mergeCell ref="AC29:AC33"/>
    <mergeCell ref="AD29:AD33"/>
    <mergeCell ref="U44:Z44"/>
    <mergeCell ref="AA44:AB44"/>
    <mergeCell ref="R43:R46"/>
    <mergeCell ref="R29:R42"/>
    <mergeCell ref="U40:Z40"/>
    <mergeCell ref="U41:Z41"/>
    <mergeCell ref="U46:Z46"/>
    <mergeCell ref="U43:Z43"/>
    <mergeCell ref="U39:Z39"/>
    <mergeCell ref="U38:Z38"/>
    <mergeCell ref="U37:Z37"/>
    <mergeCell ref="U35:Z35"/>
    <mergeCell ref="U42:Z42"/>
    <mergeCell ref="Y31:Z31"/>
    <mergeCell ref="U33:Y33"/>
    <mergeCell ref="T29:T33"/>
    <mergeCell ref="AA43:AB43"/>
    <mergeCell ref="A7:B7"/>
    <mergeCell ref="C7:K7"/>
    <mergeCell ref="A8:B9"/>
    <mergeCell ref="C8:K9"/>
    <mergeCell ref="A11:B11"/>
    <mergeCell ref="D11:M11"/>
    <mergeCell ref="D12:I13"/>
    <mergeCell ref="J12:K12"/>
    <mergeCell ref="J13:K13"/>
    <mergeCell ref="M14:M16"/>
    <mergeCell ref="D15:I15"/>
    <mergeCell ref="D16:E16"/>
    <mergeCell ref="F16:G16"/>
    <mergeCell ref="H16:I16"/>
    <mergeCell ref="U45:Z45"/>
    <mergeCell ref="AA45:AB45"/>
    <mergeCell ref="D5:F5"/>
    <mergeCell ref="L5:M6"/>
    <mergeCell ref="AA35:AB35"/>
    <mergeCell ref="U5:W5"/>
    <mergeCell ref="U34:Z34"/>
    <mergeCell ref="W31:X31"/>
    <mergeCell ref="U36:Z36"/>
    <mergeCell ref="U20:Z20"/>
    <mergeCell ref="U28:Z28"/>
    <mergeCell ref="U27:Z27"/>
    <mergeCell ref="U30:Z30"/>
    <mergeCell ref="U25:Z25"/>
    <mergeCell ref="U15:Z15"/>
    <mergeCell ref="R20:R28"/>
    <mergeCell ref="T22:T23"/>
    <mergeCell ref="S22:S23"/>
    <mergeCell ref="D17:I17"/>
    <mergeCell ref="J17:K17"/>
    <mergeCell ref="D18:I18"/>
    <mergeCell ref="J18:K18"/>
    <mergeCell ref="D19:I19"/>
    <mergeCell ref="J19:K19"/>
    <mergeCell ref="D14:H14"/>
    <mergeCell ref="J14:K16"/>
    <mergeCell ref="L14:L16"/>
    <mergeCell ref="L22:L23"/>
    <mergeCell ref="M22:M23"/>
    <mergeCell ref="D23:H23"/>
    <mergeCell ref="D24:I24"/>
    <mergeCell ref="J24:K24"/>
    <mergeCell ref="A20:A28"/>
    <mergeCell ref="D20:I20"/>
    <mergeCell ref="J20:K20"/>
    <mergeCell ref="D21:I21"/>
    <mergeCell ref="J21:K21"/>
    <mergeCell ref="B22:B23"/>
    <mergeCell ref="C22:C23"/>
    <mergeCell ref="D22:H22"/>
    <mergeCell ref="J22:K23"/>
    <mergeCell ref="D25:I25"/>
    <mergeCell ref="J25:K25"/>
    <mergeCell ref="D26:I26"/>
    <mergeCell ref="J26:K26"/>
    <mergeCell ref="D27:I27"/>
    <mergeCell ref="J27:K27"/>
    <mergeCell ref="D28:I28"/>
    <mergeCell ref="J28:K28"/>
    <mergeCell ref="A29:A42"/>
    <mergeCell ref="B29:B33"/>
    <mergeCell ref="C29:C33"/>
    <mergeCell ref="D29:H29"/>
    <mergeCell ref="J29:K33"/>
    <mergeCell ref="D34:I34"/>
    <mergeCell ref="J34:K34"/>
    <mergeCell ref="D35:I35"/>
    <mergeCell ref="J35:K35"/>
    <mergeCell ref="D36:I36"/>
    <mergeCell ref="J36:K36"/>
    <mergeCell ref="D37:I37"/>
    <mergeCell ref="J37:K37"/>
    <mergeCell ref="D38:I38"/>
    <mergeCell ref="J38:K38"/>
    <mergeCell ref="D39:I39"/>
    <mergeCell ref="J39:K39"/>
    <mergeCell ref="D40:I40"/>
    <mergeCell ref="J40:K40"/>
    <mergeCell ref="D41:I41"/>
    <mergeCell ref="J41:K41"/>
    <mergeCell ref="D42:I42"/>
    <mergeCell ref="J42:K42"/>
    <mergeCell ref="L29:L33"/>
    <mergeCell ref="M29:M33"/>
    <mergeCell ref="D30:I30"/>
    <mergeCell ref="D31:E31"/>
    <mergeCell ref="F31:G31"/>
    <mergeCell ref="H31:I31"/>
    <mergeCell ref="D32:E32"/>
    <mergeCell ref="F32:G32"/>
    <mergeCell ref="H32:I32"/>
    <mergeCell ref="D33:H33"/>
    <mergeCell ref="A43:A46"/>
    <mergeCell ref="D43:I43"/>
    <mergeCell ref="J43:K43"/>
    <mergeCell ref="D44:I44"/>
    <mergeCell ref="J44:K44"/>
    <mergeCell ref="D45:I45"/>
    <mergeCell ref="J45:K45"/>
    <mergeCell ref="D46:I46"/>
    <mergeCell ref="J46:K46"/>
    <mergeCell ref="AI11:AJ11"/>
    <mergeCell ref="AL11:AU11"/>
    <mergeCell ref="AL12:AQ13"/>
    <mergeCell ref="AR12:AS12"/>
    <mergeCell ref="AR13:AS13"/>
    <mergeCell ref="AL5:AN5"/>
    <mergeCell ref="AT5:AU6"/>
    <mergeCell ref="AI7:AJ7"/>
    <mergeCell ref="AK7:AS7"/>
    <mergeCell ref="AI8:AJ9"/>
    <mergeCell ref="AK8:AS9"/>
    <mergeCell ref="AT14:AT16"/>
    <mergeCell ref="AU14:AU16"/>
    <mergeCell ref="AL15:AQ15"/>
    <mergeCell ref="AL16:AM16"/>
    <mergeCell ref="AN16:AO16"/>
    <mergeCell ref="AP16:AQ16"/>
    <mergeCell ref="AI14:AI19"/>
    <mergeCell ref="AJ14:AJ16"/>
    <mergeCell ref="AK14:AK16"/>
    <mergeCell ref="AL14:AP14"/>
    <mergeCell ref="AR14:AS16"/>
    <mergeCell ref="AL17:AQ17"/>
    <mergeCell ref="AR17:AS17"/>
    <mergeCell ref="AL18:AQ18"/>
    <mergeCell ref="AR18:AS18"/>
    <mergeCell ref="AL19:AQ19"/>
    <mergeCell ref="AR19:AS19"/>
    <mergeCell ref="AT22:AT23"/>
    <mergeCell ref="AU22:AU23"/>
    <mergeCell ref="AL23:AP23"/>
    <mergeCell ref="AL24:AQ24"/>
    <mergeCell ref="AR24:AS24"/>
    <mergeCell ref="AI20:AI28"/>
    <mergeCell ref="AL20:AQ20"/>
    <mergeCell ref="AR20:AS20"/>
    <mergeCell ref="AL21:AQ21"/>
    <mergeCell ref="AR21:AS21"/>
    <mergeCell ref="AJ22:AJ23"/>
    <mergeCell ref="AK22:AK23"/>
    <mergeCell ref="AL22:AP22"/>
    <mergeCell ref="AR22:AS23"/>
    <mergeCell ref="AL25:AQ25"/>
    <mergeCell ref="AR25:AS25"/>
    <mergeCell ref="AL26:AQ26"/>
    <mergeCell ref="AR26:AS26"/>
    <mergeCell ref="AL27:AQ27"/>
    <mergeCell ref="AR27:AS27"/>
    <mergeCell ref="AL28:AQ28"/>
    <mergeCell ref="AR28:AS28"/>
    <mergeCell ref="AI29:AI42"/>
    <mergeCell ref="AJ29:AJ33"/>
    <mergeCell ref="AK29:AK33"/>
    <mergeCell ref="AL29:AP29"/>
    <mergeCell ref="AR29:AS33"/>
    <mergeCell ref="AL34:AQ34"/>
    <mergeCell ref="AR34:AS34"/>
    <mergeCell ref="AL35:AQ35"/>
    <mergeCell ref="AR35:AS35"/>
    <mergeCell ref="AL36:AQ36"/>
    <mergeCell ref="AR36:AS36"/>
    <mergeCell ref="AL37:AQ37"/>
    <mergeCell ref="AR37:AS37"/>
    <mergeCell ref="AL38:AQ38"/>
    <mergeCell ref="AR38:AS38"/>
    <mergeCell ref="AL39:AQ39"/>
    <mergeCell ref="AR39:AS39"/>
    <mergeCell ref="AL40:AQ40"/>
    <mergeCell ref="AR40:AS40"/>
    <mergeCell ref="AL41:AQ41"/>
    <mergeCell ref="AR41:AS41"/>
    <mergeCell ref="AL42:AQ42"/>
    <mergeCell ref="AR42:AS42"/>
    <mergeCell ref="AT29:AT33"/>
    <mergeCell ref="AU29:AU33"/>
    <mergeCell ref="AL30:AQ30"/>
    <mergeCell ref="AL31:AM31"/>
    <mergeCell ref="AN31:AO31"/>
    <mergeCell ref="AP31:AQ31"/>
    <mergeCell ref="AL32:AM32"/>
    <mergeCell ref="AN32:AO32"/>
    <mergeCell ref="AP32:AQ32"/>
    <mergeCell ref="AL33:AP33"/>
    <mergeCell ref="AI43:AI46"/>
    <mergeCell ref="AL43:AQ43"/>
    <mergeCell ref="AR43:AS43"/>
    <mergeCell ref="AL44:AQ44"/>
    <mergeCell ref="AR44:AS44"/>
    <mergeCell ref="AL45:AQ45"/>
    <mergeCell ref="AR45:AS45"/>
    <mergeCell ref="AL46:AQ46"/>
    <mergeCell ref="AR46:AS4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3900B-FF7F-4079-AF2E-A2AE20BD4CC6}">
  <sheetPr>
    <pageSetUpPr fitToPage="1"/>
  </sheetPr>
  <dimension ref="A1:L31"/>
  <sheetViews>
    <sheetView topLeftCell="B7" workbookViewId="0">
      <selection activeCell="J18" sqref="J18"/>
    </sheetView>
  </sheetViews>
  <sheetFormatPr defaultColWidth="8.6640625" defaultRowHeight="24" customHeight="1"/>
  <cols>
    <col min="1" max="1" width="43.33203125" style="242" customWidth="1"/>
    <col min="2" max="2" width="15.109375" style="242" customWidth="1"/>
    <col min="3" max="3" width="21.6640625" style="220" customWidth="1"/>
    <col min="4" max="4" width="8.6640625" style="316"/>
    <col min="5" max="5" width="46.44140625" style="220" customWidth="1"/>
    <col min="6" max="6" width="15.33203125" style="243" customWidth="1"/>
    <col min="7" max="7" width="22.5546875" style="244" customWidth="1"/>
    <col min="8" max="8" width="10.6640625" style="310" customWidth="1"/>
    <col min="9" max="9" width="43.33203125" style="242" customWidth="1"/>
    <col min="10" max="10" width="15.109375" style="242" customWidth="1"/>
    <col min="11" max="11" width="21.6640625" style="220" customWidth="1"/>
    <col min="12" max="16384" width="8.6640625" style="220"/>
  </cols>
  <sheetData>
    <row r="1" spans="1:12" ht="24" customHeight="1">
      <c r="A1" s="482" t="s">
        <v>494</v>
      </c>
      <c r="B1" s="482"/>
      <c r="C1" s="482"/>
      <c r="E1" s="482" t="s">
        <v>495</v>
      </c>
      <c r="F1" s="482"/>
      <c r="G1" s="482"/>
      <c r="H1" s="305"/>
      <c r="I1" s="482" t="s">
        <v>496</v>
      </c>
      <c r="J1" s="482"/>
      <c r="K1" s="482"/>
    </row>
    <row r="2" spans="1:12" ht="15.9" customHeight="1">
      <c r="A2" s="221"/>
      <c r="B2" s="222"/>
      <c r="C2" s="221"/>
      <c r="E2" s="221"/>
      <c r="F2" s="222"/>
      <c r="G2" s="221"/>
      <c r="H2" s="306"/>
      <c r="I2" s="221"/>
      <c r="J2" s="222"/>
      <c r="K2" s="221"/>
    </row>
    <row r="3" spans="1:12" s="225" customFormat="1" ht="15.9" customHeight="1">
      <c r="A3" s="223" t="s">
        <v>313</v>
      </c>
      <c r="B3" s="263">
        <f>SUM('Streets for People AMAT'!B107*1000)+('School Streets AMAT'!B107*1000)</f>
        <v>13095.723404016924</v>
      </c>
      <c r="C3" s="224" t="s">
        <v>314</v>
      </c>
      <c r="D3" s="317"/>
      <c r="E3" s="223" t="s">
        <v>313</v>
      </c>
      <c r="F3" s="263">
        <f>SUM('Streets for People AMAT'!B84*1000)+('School Streets AMAT'!B84*1000)</f>
        <v>9228.6101498368134</v>
      </c>
      <c r="G3" s="224" t="s">
        <v>314</v>
      </c>
      <c r="H3" s="306"/>
      <c r="I3" s="223" t="s">
        <v>313</v>
      </c>
      <c r="J3" s="263">
        <f>SUM('Streets for People AMAT'!B130*1000)+('School Streets AMAT'!B130*1000)</f>
        <v>6555.2383239534756</v>
      </c>
      <c r="K3" s="224" t="s">
        <v>314</v>
      </c>
    </row>
    <row r="4" spans="1:12" s="225" customFormat="1" ht="15.9" customHeight="1">
      <c r="A4" s="223" t="s">
        <v>315</v>
      </c>
      <c r="B4" s="281">
        <f>SUM('Streets for People AMAT'!B106*1000)+('School Streets AMAT'!B106*1000)+'EV charge points'!D96</f>
        <v>688187.29398375307</v>
      </c>
      <c r="C4" s="224" t="s">
        <v>316</v>
      </c>
      <c r="D4" s="317"/>
      <c r="E4" s="223" t="s">
        <v>315</v>
      </c>
      <c r="F4" s="281">
        <f>SUM('Streets for People AMAT'!B83*1000)+('School Streets AMAT'!B83*1000)+'EV charge points'!D96</f>
        <v>680987.44835573866</v>
      </c>
      <c r="G4" s="224" t="s">
        <v>316</v>
      </c>
      <c r="H4" s="306"/>
      <c r="I4" s="223" t="s">
        <v>315</v>
      </c>
      <c r="J4" s="281">
        <f>SUM('Streets for People AMAT'!B129*1000)+('School Streets AMAT'!B129*1000)+'EV charge points'!D96</f>
        <v>676010.12724112242</v>
      </c>
      <c r="K4" s="224" t="s">
        <v>316</v>
      </c>
    </row>
    <row r="5" spans="1:12" s="225" customFormat="1" ht="15.9" customHeight="1">
      <c r="A5" s="223" t="s">
        <v>317</v>
      </c>
      <c r="B5" s="282">
        <f>SUM(('Streets for People AMAT'!B108+'School Streets AMAT'!B108)*1000)+'LED Street lights'!H83+'EV charge points'!G96</f>
        <v>1935051.7764203949</v>
      </c>
      <c r="C5" s="224" t="s">
        <v>318</v>
      </c>
      <c r="D5" s="317"/>
      <c r="E5" s="223" t="s">
        <v>317</v>
      </c>
      <c r="F5" s="282">
        <f>SUM(('Streets for People AMAT'!B85+'School Streets AMAT'!B85)*1000)+'LED Street lights'!H83+'EV charge points'!G96</f>
        <v>1921646.2385412841</v>
      </c>
      <c r="G5" s="224" t="s">
        <v>318</v>
      </c>
      <c r="H5" s="306"/>
      <c r="I5" s="223" t="s">
        <v>317</v>
      </c>
      <c r="J5" s="282">
        <f>SUM(('Streets for People AMAT'!B131+'School Streets AMAT'!B131)*1000)+'LED Street lights'!H56+'EV charge points'!G96</f>
        <v>1525835.5366660203</v>
      </c>
      <c r="K5" s="224" t="s">
        <v>318</v>
      </c>
    </row>
    <row r="6" spans="1:12" s="225" customFormat="1" ht="15.9" customHeight="1">
      <c r="A6" s="226" t="s">
        <v>319</v>
      </c>
      <c r="B6" s="265">
        <f>SUM('Streets for People AMAT'!B111*1000)+('School Streets AMAT'!B111*1000)</f>
        <v>2110088.3962264559</v>
      </c>
      <c r="C6" s="224" t="s">
        <v>320</v>
      </c>
      <c r="D6" s="317"/>
      <c r="E6" s="226" t="s">
        <v>319</v>
      </c>
      <c r="F6" s="265">
        <f>SUM('Streets for People AMAT'!B88*1000)+('School Streets AMAT'!B88*1000)</f>
        <v>1606960.9315923254</v>
      </c>
      <c r="G6" s="224" t="s">
        <v>320</v>
      </c>
      <c r="H6" s="306"/>
      <c r="I6" s="226" t="s">
        <v>319</v>
      </c>
      <c r="J6" s="265">
        <f>SUM('Streets for People AMAT'!B134*1000)+('School Streets AMAT'!B134*1000)</f>
        <v>1110763.9922014195</v>
      </c>
      <c r="K6" s="224" t="s">
        <v>320</v>
      </c>
    </row>
    <row r="7" spans="1:12" s="225" customFormat="1" ht="15.9" customHeight="1">
      <c r="A7" s="223" t="s">
        <v>321</v>
      </c>
      <c r="B7" s="263">
        <f>SUM('Streets for People AMAT'!B109+'School Streets AMAT'!B109)*1000</f>
        <v>18675465.303801958</v>
      </c>
      <c r="C7" s="224" t="s">
        <v>322</v>
      </c>
      <c r="D7" s="317"/>
      <c r="E7" s="223" t="s">
        <v>321</v>
      </c>
      <c r="F7" s="263">
        <f>SUM(('Streets for People AMAT'!B86+'School Streets AMAT'!B86)*1000)</f>
        <v>13794481.55311537</v>
      </c>
      <c r="G7" s="224" t="s">
        <v>322</v>
      </c>
      <c r="H7" s="306"/>
      <c r="I7" s="223" t="s">
        <v>321</v>
      </c>
      <c r="J7" s="263">
        <f>SUM(('Streets for People AMAT'!B132+'School Streets AMAT'!B132)*1000)</f>
        <v>9335305.5130969677</v>
      </c>
      <c r="K7" s="224" t="s">
        <v>322</v>
      </c>
    </row>
    <row r="8" spans="1:12" s="225" customFormat="1" ht="15.9" customHeight="1">
      <c r="A8" s="223" t="s">
        <v>323</v>
      </c>
      <c r="B8" s="263">
        <f>SUM('Streets for People AMAT'!B105+'School Streets AMAT'!B105)*1000</f>
        <v>196435.85106025386</v>
      </c>
      <c r="C8" s="224" t="s">
        <v>324</v>
      </c>
      <c r="D8" s="317"/>
      <c r="E8" s="223" t="s">
        <v>323</v>
      </c>
      <c r="F8" s="263">
        <f>SUM('Streets for People AMAT'!B82+'School Streets AMAT'!B82)*1000</f>
        <v>138429.15224755221</v>
      </c>
      <c r="G8" s="224" t="s">
        <v>324</v>
      </c>
      <c r="H8" s="306"/>
      <c r="I8" s="223" t="s">
        <v>323</v>
      </c>
      <c r="J8" s="263">
        <f>SUM('Streets for People AMAT'!B128+'School Streets AMAT'!B128)*1000</f>
        <v>98328.574859302142</v>
      </c>
      <c r="K8" s="224" t="s">
        <v>324</v>
      </c>
    </row>
    <row r="9" spans="1:12" s="225" customFormat="1" ht="15.75" customHeight="1">
      <c r="A9" s="223" t="s">
        <v>325</v>
      </c>
      <c r="B9" s="264">
        <f>SUM('Streets for People AMAT'!B103+'School Streets AMAT'!B103)*1000</f>
        <v>1160296.3097913736</v>
      </c>
      <c r="C9" s="227" t="s">
        <v>326</v>
      </c>
      <c r="D9" s="318"/>
      <c r="E9" s="223" t="s">
        <v>325</v>
      </c>
      <c r="F9" s="264">
        <f>SUM('Streets for People AMAT'!B80+'School Streets AMAT'!B80)*1000</f>
        <v>817665.58219108125</v>
      </c>
      <c r="G9" s="227" t="s">
        <v>326</v>
      </c>
      <c r="H9" s="306"/>
      <c r="I9" s="223" t="s">
        <v>325</v>
      </c>
      <c r="J9" s="264">
        <f>SUM('Streets for People AMAT'!B126+'School Streets AMAT'!B126)*1000</f>
        <v>580801.73217106657</v>
      </c>
      <c r="K9" s="227" t="s">
        <v>326</v>
      </c>
      <c r="L9" s="228"/>
    </row>
    <row r="10" spans="1:12" s="225" customFormat="1" ht="15.9" customHeight="1">
      <c r="A10" s="226" t="s">
        <v>327</v>
      </c>
      <c r="B10" s="229"/>
      <c r="C10" s="227" t="s">
        <v>328</v>
      </c>
      <c r="D10" s="318"/>
      <c r="E10" s="226" t="s">
        <v>327</v>
      </c>
      <c r="F10" s="229"/>
      <c r="G10" s="227" t="s">
        <v>328</v>
      </c>
      <c r="H10" s="306"/>
      <c r="I10" s="226" t="s">
        <v>327</v>
      </c>
      <c r="J10" s="229"/>
      <c r="K10" s="227" t="s">
        <v>328</v>
      </c>
      <c r="L10" s="228"/>
    </row>
    <row r="11" spans="1:12" s="225" customFormat="1" ht="16.5" customHeight="1">
      <c r="A11" s="226" t="s">
        <v>329</v>
      </c>
      <c r="B11" s="265">
        <f>SUM(('Streets for People AMAT'!B110+'School Streets AMAT'!B110)*1000)</f>
        <v>3183087.0822800249</v>
      </c>
      <c r="C11" s="224" t="s">
        <v>330</v>
      </c>
      <c r="D11" s="318"/>
      <c r="E11" s="226" t="s">
        <v>329</v>
      </c>
      <c r="F11" s="265">
        <f>SUM(('Streets for People AMAT'!B87+'School Streets AMAT'!B87)*1000)</f>
        <v>2495859.8710528617</v>
      </c>
      <c r="G11" s="224" t="s">
        <v>330</v>
      </c>
      <c r="H11" s="306"/>
      <c r="I11" s="226" t="s">
        <v>329</v>
      </c>
      <c r="J11" s="265">
        <f>SUM(('Streets for People AMAT'!B133+'School Streets AMAT'!B133)*1000)</f>
        <v>1591032.5935919168</v>
      </c>
      <c r="K11" s="224" t="s">
        <v>330</v>
      </c>
      <c r="L11" s="228"/>
    </row>
    <row r="12" spans="1:12" ht="33.75" customHeight="1">
      <c r="A12" s="226" t="s">
        <v>331</v>
      </c>
      <c r="B12" s="265">
        <f>0-SUM(('Streets for People AMAT'!B113+'School Streets AMAT'!B113)*1000)-SUM(('Streets for People AMAT'!B104+'School Streets AMAT'!B104)*1000)-'LED Street lights'!D83-'Highway maintenance model'!N15</f>
        <v>-17150494.791871108</v>
      </c>
      <c r="C12" s="224" t="s">
        <v>332</v>
      </c>
      <c r="E12" s="226" t="s">
        <v>331</v>
      </c>
      <c r="F12" s="265">
        <f>0-SUM(('Streets for People AMAT'!B90+'School Streets AMAT'!B90)*1000)-SUM(('Streets for People AMAT'!B81+'School Streets AMAT'!B81)*1000)-'LED Street lights'!D83-'Highway maintenance model'!N22</f>
        <v>-15147853.458335944</v>
      </c>
      <c r="G12" s="224" t="s">
        <v>332</v>
      </c>
      <c r="H12" s="306"/>
      <c r="I12" s="226" t="s">
        <v>331</v>
      </c>
      <c r="J12" s="265">
        <f>0-SUM(('Streets for People AMAT'!B136+'School Streets AMAT'!B136)*1000)-SUM(('Streets for People AMAT'!B127+'School Streets AMAT'!B127)*1000)-'LED Street lights'!D56-'Highway maintenance model'!N29</f>
        <v>-10661659.808203153</v>
      </c>
      <c r="K12" s="224" t="s">
        <v>332</v>
      </c>
    </row>
    <row r="13" spans="1:12" ht="15.9" customHeight="1">
      <c r="A13" s="223"/>
      <c r="B13" s="230"/>
      <c r="C13" s="231"/>
      <c r="E13" s="223"/>
      <c r="F13" s="230"/>
      <c r="G13" s="231"/>
      <c r="H13" s="306"/>
      <c r="I13" s="223"/>
      <c r="J13" s="230"/>
      <c r="K13" s="231"/>
    </row>
    <row r="14" spans="1:12" ht="33.75" customHeight="1">
      <c r="A14" s="226" t="s">
        <v>333</v>
      </c>
      <c r="B14" s="266">
        <f>SUM(B3+B4+B5+B6+B7+B8+B9+B10+B11-B12)</f>
        <v>45112202.528839335</v>
      </c>
      <c r="C14" s="232" t="s">
        <v>334</v>
      </c>
      <c r="E14" s="226" t="s">
        <v>333</v>
      </c>
      <c r="F14" s="266">
        <f>SUM(F3+F4+F5+F6+F7+F8+F9+F10+F11-F12)</f>
        <v>36613112.845581993</v>
      </c>
      <c r="G14" s="232" t="s">
        <v>334</v>
      </c>
      <c r="H14" s="306"/>
      <c r="I14" s="226" t="s">
        <v>333</v>
      </c>
      <c r="J14" s="266">
        <f>SUM(J3+J4+J5+J6+J7+J8+J9+J10+J11-J12)</f>
        <v>25586293.116354924</v>
      </c>
      <c r="K14" s="232" t="s">
        <v>334</v>
      </c>
    </row>
    <row r="15" spans="1:12" ht="15.9" customHeight="1">
      <c r="A15" s="223"/>
      <c r="B15" s="230"/>
      <c r="C15" s="231"/>
      <c r="E15" s="223"/>
      <c r="F15" s="230"/>
      <c r="G15" s="231"/>
      <c r="H15" s="306"/>
      <c r="I15" s="223"/>
      <c r="J15" s="230"/>
      <c r="K15" s="231"/>
    </row>
    <row r="16" spans="1:12" ht="15.9" customHeight="1">
      <c r="A16" s="223" t="s">
        <v>335</v>
      </c>
      <c r="B16" s="283">
        <f>'Scheme Costs'!N53</f>
        <v>17777627.794547752</v>
      </c>
      <c r="C16" s="233" t="s">
        <v>336</v>
      </c>
      <c r="E16" s="223" t="s">
        <v>335</v>
      </c>
      <c r="F16" s="283">
        <f>'Scheme Costs'!N53</f>
        <v>17777627.794547752</v>
      </c>
      <c r="G16" s="233" t="s">
        <v>336</v>
      </c>
      <c r="H16" s="306"/>
      <c r="I16" s="223" t="s">
        <v>335</v>
      </c>
      <c r="J16" s="283">
        <f>'Scheme Costs'!N53</f>
        <v>17777627.794547752</v>
      </c>
      <c r="K16" s="233" t="s">
        <v>336</v>
      </c>
    </row>
    <row r="17" spans="1:11" ht="15.9" customHeight="1">
      <c r="A17" s="223"/>
      <c r="B17" s="230"/>
      <c r="C17" s="231"/>
      <c r="E17" s="223"/>
      <c r="F17" s="230"/>
      <c r="G17" s="231"/>
      <c r="H17" s="306"/>
      <c r="I17" s="223"/>
      <c r="J17" s="230"/>
      <c r="K17" s="231"/>
    </row>
    <row r="18" spans="1:11" ht="15.9" customHeight="1">
      <c r="A18" s="223" t="s">
        <v>337</v>
      </c>
      <c r="B18" s="265">
        <f>B16</f>
        <v>17777627.794547752</v>
      </c>
      <c r="C18" s="234" t="s">
        <v>338</v>
      </c>
      <c r="E18" s="223" t="s">
        <v>337</v>
      </c>
      <c r="F18" s="265">
        <f>F16</f>
        <v>17777627.794547752</v>
      </c>
      <c r="G18" s="234" t="s">
        <v>338</v>
      </c>
      <c r="H18" s="306"/>
      <c r="I18" s="223" t="s">
        <v>337</v>
      </c>
      <c r="J18" s="265">
        <f>J16</f>
        <v>17777627.794547752</v>
      </c>
      <c r="K18" s="234" t="s">
        <v>338</v>
      </c>
    </row>
    <row r="19" spans="1:11" ht="15.9" customHeight="1">
      <c r="A19" s="223"/>
      <c r="B19" s="229"/>
      <c r="C19" s="231"/>
      <c r="E19" s="223"/>
      <c r="F19" s="229"/>
      <c r="G19" s="231"/>
      <c r="H19" s="306"/>
      <c r="I19" s="223"/>
      <c r="J19" s="229"/>
      <c r="K19" s="231"/>
    </row>
    <row r="20" spans="1:11" ht="15.9" customHeight="1">
      <c r="A20" s="223" t="s">
        <v>339</v>
      </c>
      <c r="B20" s="221"/>
      <c r="C20" s="231"/>
      <c r="E20" s="223" t="s">
        <v>339</v>
      </c>
      <c r="F20" s="221"/>
      <c r="G20" s="231"/>
      <c r="H20" s="306"/>
      <c r="I20" s="223" t="s">
        <v>339</v>
      </c>
      <c r="J20" s="221"/>
      <c r="K20" s="231"/>
    </row>
    <row r="21" spans="1:11" ht="15.9" customHeight="1">
      <c r="A21" s="235" t="s">
        <v>340</v>
      </c>
      <c r="B21" s="266">
        <f>B14-B18</f>
        <v>27334574.734291583</v>
      </c>
      <c r="C21" s="231" t="s">
        <v>341</v>
      </c>
      <c r="E21" s="235" t="s">
        <v>340</v>
      </c>
      <c r="F21" s="266">
        <f>F14-F18</f>
        <v>18835485.051034242</v>
      </c>
      <c r="G21" s="231" t="s">
        <v>341</v>
      </c>
      <c r="H21" s="306"/>
      <c r="I21" s="235" t="s">
        <v>340</v>
      </c>
      <c r="J21" s="266">
        <f>J14-J18</f>
        <v>7808665.3218071721</v>
      </c>
      <c r="K21" s="231" t="s">
        <v>341</v>
      </c>
    </row>
    <row r="22" spans="1:11" ht="15.9" customHeight="1">
      <c r="A22" s="235" t="s">
        <v>342</v>
      </c>
      <c r="B22" s="267">
        <f>B14/B18</f>
        <v>2.5375828007083636</v>
      </c>
      <c r="C22" s="236" t="s">
        <v>343</v>
      </c>
      <c r="E22" s="235" t="s">
        <v>342</v>
      </c>
      <c r="F22" s="267">
        <f>F14/F18</f>
        <v>2.0595049726944405</v>
      </c>
      <c r="G22" s="236" t="s">
        <v>343</v>
      </c>
      <c r="H22" s="307"/>
      <c r="I22" s="235" t="s">
        <v>342</v>
      </c>
      <c r="J22" s="267">
        <f>J14/J18</f>
        <v>1.4392411300343471</v>
      </c>
      <c r="K22" s="236" t="s">
        <v>343</v>
      </c>
    </row>
    <row r="23" spans="1:11" ht="15.9" customHeight="1">
      <c r="A23" s="221"/>
      <c r="B23" s="229"/>
      <c r="C23" s="221"/>
      <c r="E23" s="221"/>
      <c r="F23" s="229"/>
      <c r="G23" s="221"/>
      <c r="H23" s="307"/>
      <c r="I23" s="221"/>
      <c r="J23" s="229"/>
      <c r="K23" s="221"/>
    </row>
    <row r="24" spans="1:11" ht="15.9" customHeight="1">
      <c r="A24" s="483" t="s">
        <v>344</v>
      </c>
      <c r="B24" s="483"/>
      <c r="C24" s="483"/>
      <c r="E24" s="483" t="s">
        <v>344</v>
      </c>
      <c r="F24" s="483"/>
      <c r="G24" s="483"/>
      <c r="H24" s="307"/>
      <c r="I24" s="483" t="s">
        <v>344</v>
      </c>
      <c r="J24" s="483"/>
      <c r="K24" s="483"/>
    </row>
    <row r="25" spans="1:11" ht="15.9" customHeight="1">
      <c r="A25" s="483"/>
      <c r="B25" s="483"/>
      <c r="C25" s="483"/>
      <c r="E25" s="483"/>
      <c r="F25" s="483"/>
      <c r="G25" s="483"/>
      <c r="H25" s="308"/>
      <c r="I25" s="483"/>
      <c r="J25" s="483"/>
      <c r="K25" s="483"/>
    </row>
    <row r="26" spans="1:11" ht="15.9" customHeight="1">
      <c r="A26" s="483"/>
      <c r="B26" s="483"/>
      <c r="C26" s="483"/>
      <c r="E26" s="483"/>
      <c r="F26" s="483"/>
      <c r="G26" s="483"/>
      <c r="H26" s="309"/>
      <c r="I26" s="483"/>
      <c r="J26" s="483"/>
      <c r="K26" s="483"/>
    </row>
    <row r="27" spans="1:11" ht="15.9" customHeight="1">
      <c r="A27" s="238"/>
      <c r="B27" s="237"/>
      <c r="C27" s="239"/>
      <c r="E27" s="238"/>
      <c r="F27" s="237"/>
      <c r="G27" s="239"/>
      <c r="H27" s="309"/>
      <c r="I27" s="238"/>
      <c r="J27" s="237"/>
      <c r="K27" s="239"/>
    </row>
    <row r="28" spans="1:11" ht="15.9" customHeight="1">
      <c r="A28" s="237"/>
      <c r="B28" s="237"/>
      <c r="E28" s="240"/>
      <c r="F28" s="237"/>
      <c r="G28" s="239"/>
      <c r="H28" s="308"/>
      <c r="I28" s="237"/>
      <c r="J28" s="237"/>
    </row>
    <row r="29" spans="1:11" ht="15.9" customHeight="1">
      <c r="A29" s="237"/>
      <c r="B29" s="237"/>
      <c r="E29" s="240"/>
      <c r="F29" s="237"/>
      <c r="G29" s="241"/>
      <c r="H29" s="309"/>
      <c r="I29" s="237"/>
      <c r="J29" s="237"/>
    </row>
    <row r="30" spans="1:11" ht="15.9" customHeight="1">
      <c r="A30" s="237"/>
      <c r="B30" s="237"/>
      <c r="E30" s="240"/>
      <c r="F30" s="242"/>
      <c r="G30" s="241"/>
      <c r="H30" s="309"/>
      <c r="I30" s="237"/>
      <c r="J30" s="237"/>
    </row>
    <row r="31" spans="1:11" ht="15.9" customHeight="1"/>
  </sheetData>
  <mergeCells count="6">
    <mergeCell ref="E1:G1"/>
    <mergeCell ref="E24:G26"/>
    <mergeCell ref="A1:C1"/>
    <mergeCell ref="A24:C26"/>
    <mergeCell ref="I1:K1"/>
    <mergeCell ref="I24:K26"/>
  </mergeCells>
  <pageMargins left="0.35433070866141736" right="0.7480314960629921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CA639-0E74-436A-B8F2-AEDF623A5E97}">
  <dimension ref="A1:Q53"/>
  <sheetViews>
    <sheetView topLeftCell="K37" workbookViewId="0">
      <selection activeCell="K56" sqref="K56"/>
    </sheetView>
  </sheetViews>
  <sheetFormatPr defaultRowHeight="14.4"/>
  <cols>
    <col min="1" max="1" width="15.21875" customWidth="1"/>
    <col min="2" max="2" width="20.44140625" customWidth="1"/>
    <col min="3" max="3" width="43.88671875" customWidth="1"/>
    <col min="4" max="4" width="16.21875" customWidth="1"/>
    <col min="5" max="5" width="28.33203125" customWidth="1"/>
    <col min="6" max="6" width="15" customWidth="1"/>
    <col min="7" max="7" width="19.109375" customWidth="1"/>
    <col min="8" max="8" width="20.88671875" customWidth="1"/>
    <col min="9" max="9" width="11.109375" bestFit="1" customWidth="1"/>
    <col min="10" max="10" width="11.44140625" bestFit="1" customWidth="1"/>
    <col min="11" max="11" width="20.44140625" customWidth="1"/>
    <col min="12" max="12" width="19.77734375" bestFit="1" customWidth="1"/>
    <col min="13" max="13" width="13.109375" customWidth="1"/>
    <col min="14" max="14" width="11.44140625" bestFit="1" customWidth="1"/>
    <col min="15" max="15" width="15" bestFit="1" customWidth="1"/>
    <col min="16" max="16" width="10.5546875" customWidth="1"/>
    <col min="17" max="17" width="13.109375" bestFit="1" customWidth="1"/>
    <col min="19" max="19" width="13.44140625" bestFit="1" customWidth="1"/>
    <col min="20" max="20" width="15.5546875" bestFit="1" customWidth="1"/>
  </cols>
  <sheetData>
    <row r="1" spans="1:8" s="303" customFormat="1">
      <c r="A1" s="303" t="s">
        <v>417</v>
      </c>
    </row>
    <row r="3" spans="1:8" s="15" customFormat="1">
      <c r="A3" s="24" t="s">
        <v>560</v>
      </c>
    </row>
    <row r="4" spans="1:8" s="99" customFormat="1" ht="15" thickBot="1">
      <c r="A4" s="258"/>
    </row>
    <row r="5" spans="1:8" ht="15" thickBot="1">
      <c r="A5" s="550" t="s">
        <v>509</v>
      </c>
      <c r="B5" s="551"/>
      <c r="C5" s="521" t="s">
        <v>584</v>
      </c>
      <c r="D5" s="522"/>
      <c r="E5" s="521" t="s">
        <v>561</v>
      </c>
      <c r="F5" s="523"/>
      <c r="G5" s="523"/>
      <c r="H5" s="522"/>
    </row>
    <row r="6" spans="1:8">
      <c r="A6" s="552"/>
      <c r="B6" s="553"/>
      <c r="C6" s="340" t="s">
        <v>566</v>
      </c>
      <c r="D6" s="517" t="s">
        <v>567</v>
      </c>
      <c r="E6" s="501" t="s">
        <v>572</v>
      </c>
      <c r="F6" s="502" t="s">
        <v>562</v>
      </c>
      <c r="G6" s="502" t="s">
        <v>564</v>
      </c>
      <c r="H6" s="503" t="s">
        <v>565</v>
      </c>
    </row>
    <row r="7" spans="1:8" ht="28.8">
      <c r="A7" s="506" t="s">
        <v>512</v>
      </c>
      <c r="B7" s="507" t="s">
        <v>513</v>
      </c>
      <c r="C7" s="505" t="s">
        <v>568</v>
      </c>
      <c r="D7" s="327">
        <f>L20/105*100</f>
        <v>952380.95238095231</v>
      </c>
      <c r="E7" s="494" t="s">
        <v>563</v>
      </c>
      <c r="F7" s="500">
        <v>0.05</v>
      </c>
      <c r="G7" s="495">
        <f>D7*F7</f>
        <v>47619.047619047618</v>
      </c>
      <c r="H7" s="496">
        <f>SUM(D7+G7)</f>
        <v>999999.99999999988</v>
      </c>
    </row>
    <row r="8" spans="1:8" ht="28.8">
      <c r="A8" s="506"/>
      <c r="B8" s="507" t="s">
        <v>514</v>
      </c>
      <c r="C8" s="505" t="s">
        <v>569</v>
      </c>
      <c r="D8" s="327">
        <f>L21/105*100</f>
        <v>6666666.666666667</v>
      </c>
      <c r="E8" s="508" t="s">
        <v>573</v>
      </c>
      <c r="F8" s="329">
        <v>0.05</v>
      </c>
      <c r="G8" s="495">
        <f>D8*F8</f>
        <v>333333.33333333337</v>
      </c>
      <c r="H8" s="496">
        <f>SUM(D8+G8)</f>
        <v>7000000</v>
      </c>
    </row>
    <row r="9" spans="1:8" ht="57.6">
      <c r="A9" s="509" t="s">
        <v>515</v>
      </c>
      <c r="B9" s="510"/>
      <c r="C9" s="505" t="s">
        <v>570</v>
      </c>
      <c r="D9" s="327">
        <f>L22/110*100</f>
        <v>1363636.3636363635</v>
      </c>
      <c r="E9" s="508" t="s">
        <v>571</v>
      </c>
      <c r="F9" s="329">
        <v>0.1</v>
      </c>
      <c r="G9" s="495">
        <f t="shared" ref="G9:G10" si="0">D9*F9</f>
        <v>136363.63636363635</v>
      </c>
      <c r="H9" s="496">
        <f t="shared" ref="H9:H10" si="1">SUM(D9+G9)</f>
        <v>1500000</v>
      </c>
    </row>
    <row r="10" spans="1:8" ht="86.4">
      <c r="A10" s="509" t="s">
        <v>516</v>
      </c>
      <c r="B10" s="510"/>
      <c r="C10" s="505" t="s">
        <v>574</v>
      </c>
      <c r="D10" s="327">
        <f>SUM(L23:M23)/110*100</f>
        <v>9545454.5454545449</v>
      </c>
      <c r="E10" s="508" t="s">
        <v>575</v>
      </c>
      <c r="F10" s="329">
        <v>0.1</v>
      </c>
      <c r="G10" s="495">
        <f t="shared" si="0"/>
        <v>954545.45454545459</v>
      </c>
      <c r="H10" s="496">
        <f t="shared" si="1"/>
        <v>10500000</v>
      </c>
    </row>
    <row r="11" spans="1:8" ht="15" thickBot="1">
      <c r="A11" s="511" t="s">
        <v>21</v>
      </c>
      <c r="B11" s="512"/>
      <c r="C11" s="513"/>
      <c r="D11" s="514">
        <f>SUM(D7:D10)</f>
        <v>18528138.528138526</v>
      </c>
      <c r="E11" s="515"/>
      <c r="F11" s="516">
        <f>G11/H11</f>
        <v>7.3593073593073599E-2</v>
      </c>
      <c r="G11" s="514">
        <f>SUM(G7:G10)</f>
        <v>1471861.4718614719</v>
      </c>
      <c r="H11" s="514">
        <f>SUM(H7:H10)</f>
        <v>20000000</v>
      </c>
    </row>
    <row r="14" spans="1:8" s="15" customFormat="1">
      <c r="A14" s="24" t="s">
        <v>577</v>
      </c>
    </row>
    <row r="15" spans="1:8" s="99" customFormat="1">
      <c r="A15" s="258"/>
    </row>
    <row r="16" spans="1:8" s="99" customFormat="1">
      <c r="A16" s="258" t="s">
        <v>578</v>
      </c>
      <c r="C16" s="554">
        <v>2000000</v>
      </c>
    </row>
    <row r="17" spans="1:14" s="99" customFormat="1" ht="15" thickBot="1">
      <c r="A17" s="258"/>
    </row>
    <row r="18" spans="1:14">
      <c r="A18" s="550" t="s">
        <v>509</v>
      </c>
      <c r="B18" s="551"/>
      <c r="C18" s="526" t="s">
        <v>506</v>
      </c>
      <c r="D18" s="527"/>
      <c r="E18" s="530"/>
      <c r="F18" s="526" t="s">
        <v>507</v>
      </c>
      <c r="G18" s="527"/>
      <c r="H18" s="530"/>
      <c r="I18" s="526" t="s">
        <v>508</v>
      </c>
      <c r="J18" s="527"/>
      <c r="K18" s="527"/>
      <c r="L18" s="526" t="s">
        <v>26</v>
      </c>
      <c r="M18" s="527"/>
      <c r="N18" s="530"/>
    </row>
    <row r="19" spans="1:14">
      <c r="A19" s="552"/>
      <c r="B19" s="553"/>
      <c r="C19" s="534" t="s">
        <v>510</v>
      </c>
      <c r="D19" s="533" t="s">
        <v>511</v>
      </c>
      <c r="E19" s="536" t="s">
        <v>26</v>
      </c>
      <c r="F19" s="534" t="s">
        <v>510</v>
      </c>
      <c r="G19" s="535" t="s">
        <v>511</v>
      </c>
      <c r="H19" s="536" t="s">
        <v>26</v>
      </c>
      <c r="I19" s="534" t="s">
        <v>510</v>
      </c>
      <c r="J19" s="535" t="s">
        <v>511</v>
      </c>
      <c r="K19" s="533" t="s">
        <v>26</v>
      </c>
      <c r="L19" s="537" t="s">
        <v>510</v>
      </c>
      <c r="M19" s="538" t="s">
        <v>511</v>
      </c>
      <c r="N19" s="535" t="s">
        <v>26</v>
      </c>
    </row>
    <row r="20" spans="1:14">
      <c r="A20" s="484" t="s">
        <v>512</v>
      </c>
      <c r="B20" s="326" t="s">
        <v>513</v>
      </c>
      <c r="C20" s="327">
        <v>250000</v>
      </c>
      <c r="D20" s="524">
        <f>M20*25%</f>
        <v>0</v>
      </c>
      <c r="E20" s="330">
        <f>SUM(C20:D20)</f>
        <v>250000</v>
      </c>
      <c r="F20" s="327">
        <v>500000</v>
      </c>
      <c r="G20" s="327">
        <f>SUM(M20*50%)</f>
        <v>0</v>
      </c>
      <c r="H20" s="330">
        <f>SUM(F20:G20)</f>
        <v>500000</v>
      </c>
      <c r="I20" s="327">
        <v>250000</v>
      </c>
      <c r="J20" s="327">
        <f>M20*25%</f>
        <v>0</v>
      </c>
      <c r="K20" s="525">
        <f>SUM(I20:J20)</f>
        <v>250000</v>
      </c>
      <c r="L20" s="528">
        <f>C20+F20+I20</f>
        <v>1000000</v>
      </c>
      <c r="M20" s="539">
        <v>0</v>
      </c>
      <c r="N20" s="330">
        <f>SUM(L20:M20)</f>
        <v>1000000</v>
      </c>
    </row>
    <row r="21" spans="1:14">
      <c r="A21" s="484"/>
      <c r="B21" s="326" t="s">
        <v>514</v>
      </c>
      <c r="C21" s="327">
        <v>1500000</v>
      </c>
      <c r="D21" s="524">
        <f>M21*25%</f>
        <v>0</v>
      </c>
      <c r="E21" s="330">
        <f t="shared" ref="E21:E23" si="2">SUM(C21:D21)</f>
        <v>1500000</v>
      </c>
      <c r="F21" s="327">
        <v>4000000</v>
      </c>
      <c r="G21" s="327">
        <v>0</v>
      </c>
      <c r="H21" s="330">
        <f t="shared" ref="H21:H23" si="3">SUM(F21:G21)</f>
        <v>4000000</v>
      </c>
      <c r="I21" s="327">
        <v>1500000</v>
      </c>
      <c r="J21" s="327">
        <f>M21*25%</f>
        <v>0</v>
      </c>
      <c r="K21" s="525">
        <f t="shared" ref="K21:K23" si="4">SUM(I21:J21)</f>
        <v>1500000</v>
      </c>
      <c r="L21" s="528">
        <f>C21+F21+I21</f>
        <v>7000000</v>
      </c>
      <c r="M21" s="539">
        <v>0</v>
      </c>
      <c r="N21" s="330">
        <f t="shared" ref="N21:N23" si="5">SUM(L21:M21)</f>
        <v>7000000</v>
      </c>
    </row>
    <row r="22" spans="1:14">
      <c r="A22" s="484" t="s">
        <v>515</v>
      </c>
      <c r="B22" s="485"/>
      <c r="C22" s="327">
        <v>250000</v>
      </c>
      <c r="D22" s="524">
        <f>M22*25%</f>
        <v>0</v>
      </c>
      <c r="E22" s="330">
        <f t="shared" si="2"/>
        <v>250000</v>
      </c>
      <c r="F22" s="327">
        <v>1000000</v>
      </c>
      <c r="G22" s="327">
        <f>SUM(M22*50%)</f>
        <v>0</v>
      </c>
      <c r="H22" s="330">
        <f t="shared" si="3"/>
        <v>1000000</v>
      </c>
      <c r="I22" s="327">
        <v>250000</v>
      </c>
      <c r="J22" s="327">
        <f>M22*25%</f>
        <v>0</v>
      </c>
      <c r="K22" s="525">
        <f t="shared" si="4"/>
        <v>250000</v>
      </c>
      <c r="L22" s="528">
        <f>C22+F22+I22</f>
        <v>1500000</v>
      </c>
      <c r="M22" s="539">
        <v>0</v>
      </c>
      <c r="N22" s="330">
        <f t="shared" si="5"/>
        <v>1500000</v>
      </c>
    </row>
    <row r="23" spans="1:14">
      <c r="A23" s="484" t="s">
        <v>516</v>
      </c>
      <c r="B23" s="485"/>
      <c r="C23" s="327">
        <v>1750000</v>
      </c>
      <c r="D23" s="524">
        <f>C16*25%</f>
        <v>500000</v>
      </c>
      <c r="E23" s="330">
        <f t="shared" si="2"/>
        <v>2250000</v>
      </c>
      <c r="F23" s="327">
        <v>5000000</v>
      </c>
      <c r="G23" s="327">
        <f>SUM(C16*50%)</f>
        <v>1000000</v>
      </c>
      <c r="H23" s="330">
        <f t="shared" si="3"/>
        <v>6000000</v>
      </c>
      <c r="I23" s="327">
        <v>1750000</v>
      </c>
      <c r="J23" s="327">
        <f>C16*25%</f>
        <v>500000</v>
      </c>
      <c r="K23" s="525">
        <f t="shared" si="4"/>
        <v>2250000</v>
      </c>
      <c r="L23" s="528">
        <f>C23+F23+I23</f>
        <v>8500000</v>
      </c>
      <c r="M23" s="539">
        <f>C16</f>
        <v>2000000</v>
      </c>
      <c r="N23" s="330">
        <f t="shared" si="5"/>
        <v>10500000</v>
      </c>
    </row>
    <row r="24" spans="1:14" ht="15" thickBot="1">
      <c r="A24" s="519" t="s">
        <v>21</v>
      </c>
      <c r="B24" s="520"/>
      <c r="C24" s="531">
        <f>SUM(C20:C23)</f>
        <v>3750000</v>
      </c>
      <c r="D24" s="529">
        <f t="shared" ref="D24:E24" si="6">SUM(D20:D23)</f>
        <v>500000</v>
      </c>
      <c r="E24" s="532">
        <f t="shared" si="6"/>
        <v>4250000</v>
      </c>
      <c r="F24" s="531">
        <f>SUM(F20:F23)</f>
        <v>10500000</v>
      </c>
      <c r="G24" s="531">
        <f>SUM(G20:G23)</f>
        <v>1000000</v>
      </c>
      <c r="H24" s="532">
        <f t="shared" ref="H24" si="7">SUM(H20:H23)</f>
        <v>11500000</v>
      </c>
      <c r="I24" s="531">
        <f>SUM(I20:I23)</f>
        <v>3750000</v>
      </c>
      <c r="J24" s="531">
        <f>SUM(J20:J23)</f>
        <v>500000</v>
      </c>
      <c r="K24" s="529">
        <f t="shared" ref="K24" si="8">SUM(K20:K23)</f>
        <v>4250000</v>
      </c>
      <c r="L24" s="529">
        <f>SUM(L20:L23)</f>
        <v>18000000</v>
      </c>
      <c r="M24" s="518">
        <f>SUM(M20:M23)</f>
        <v>2000000</v>
      </c>
      <c r="N24" s="518">
        <f>SUM(N20:N23)</f>
        <v>20000000</v>
      </c>
    </row>
    <row r="25" spans="1:14">
      <c r="C25" s="504"/>
      <c r="D25" s="126"/>
      <c r="E25" s="504"/>
      <c r="F25" s="126"/>
      <c r="G25" s="504"/>
      <c r="H25" s="126"/>
      <c r="J25" s="331"/>
    </row>
    <row r="26" spans="1:14">
      <c r="A26" s="540" t="s">
        <v>520</v>
      </c>
      <c r="J26" s="331"/>
    </row>
    <row r="27" spans="1:14" ht="15" thickBot="1"/>
    <row r="28" spans="1:14" ht="17.399999999999999" thickBot="1">
      <c r="A28" s="332"/>
      <c r="B28" s="333" t="s">
        <v>506</v>
      </c>
      <c r="C28" s="333" t="s">
        <v>507</v>
      </c>
      <c r="D28" s="333" t="s">
        <v>508</v>
      </c>
      <c r="E28" s="334" t="s">
        <v>517</v>
      </c>
    </row>
    <row r="29" spans="1:14" ht="17.399999999999999" thickBot="1">
      <c r="A29" s="335" t="s">
        <v>518</v>
      </c>
      <c r="B29" s="336">
        <f>B31*25%</f>
        <v>750000</v>
      </c>
      <c r="C29" s="336">
        <f t="shared" ref="C29:D29" si="9">C31*25%</f>
        <v>1500000</v>
      </c>
      <c r="D29" s="336">
        <f t="shared" si="9"/>
        <v>750000</v>
      </c>
      <c r="E29" s="336"/>
    </row>
    <row r="30" spans="1:14" ht="17.399999999999999" thickBot="1">
      <c r="A30" s="335" t="s">
        <v>519</v>
      </c>
      <c r="B30" s="336">
        <f>B31*75%</f>
        <v>2250000</v>
      </c>
      <c r="C30" s="336">
        <f t="shared" ref="C30:D30" si="10">C31*75%</f>
        <v>4500000</v>
      </c>
      <c r="D30" s="336">
        <f t="shared" si="10"/>
        <v>2250000</v>
      </c>
      <c r="E30" s="336"/>
    </row>
    <row r="31" spans="1:14" ht="17.399999999999999" thickBot="1">
      <c r="A31" s="335" t="s">
        <v>26</v>
      </c>
      <c r="B31" s="336">
        <v>3000000</v>
      </c>
      <c r="C31" s="336">
        <v>6000000</v>
      </c>
      <c r="D31" s="336">
        <v>3000000</v>
      </c>
      <c r="E31" s="336">
        <v>1400000</v>
      </c>
    </row>
    <row r="34" spans="1:17" s="15" customFormat="1">
      <c r="A34" s="24" t="s">
        <v>576</v>
      </c>
    </row>
    <row r="35" spans="1:17" s="99" customFormat="1" ht="15" thickBot="1">
      <c r="A35" s="258"/>
    </row>
    <row r="36" spans="1:17">
      <c r="A36" s="550" t="s">
        <v>509</v>
      </c>
      <c r="B36" s="551"/>
      <c r="C36" s="526" t="s">
        <v>506</v>
      </c>
      <c r="D36" s="527"/>
      <c r="E36" s="530"/>
      <c r="F36" s="526" t="s">
        <v>507</v>
      </c>
      <c r="G36" s="527"/>
      <c r="H36" s="530"/>
      <c r="I36" s="526" t="s">
        <v>508</v>
      </c>
      <c r="J36" s="527"/>
      <c r="K36" s="527"/>
      <c r="L36" s="526" t="s">
        <v>26</v>
      </c>
      <c r="M36" s="527"/>
      <c r="N36" s="530"/>
      <c r="O36" s="542" t="s">
        <v>583</v>
      </c>
      <c r="P36" s="543"/>
      <c r="Q36" s="543"/>
    </row>
    <row r="37" spans="1:17">
      <c r="A37" s="552"/>
      <c r="B37" s="553"/>
      <c r="C37" s="534" t="s">
        <v>510</v>
      </c>
      <c r="D37" s="533" t="s">
        <v>511</v>
      </c>
      <c r="E37" s="536" t="s">
        <v>26</v>
      </c>
      <c r="F37" s="534" t="s">
        <v>510</v>
      </c>
      <c r="G37" s="535" t="s">
        <v>511</v>
      </c>
      <c r="H37" s="536" t="s">
        <v>26</v>
      </c>
      <c r="I37" s="534" t="s">
        <v>510</v>
      </c>
      <c r="J37" s="535" t="s">
        <v>511</v>
      </c>
      <c r="K37" s="533" t="s">
        <v>26</v>
      </c>
      <c r="L37" s="537" t="s">
        <v>510</v>
      </c>
      <c r="M37" s="538" t="s">
        <v>511</v>
      </c>
      <c r="N37" s="535" t="s">
        <v>26</v>
      </c>
      <c r="O37" s="535" t="s">
        <v>579</v>
      </c>
      <c r="P37" s="535" t="s">
        <v>580</v>
      </c>
      <c r="Q37" s="535" t="s">
        <v>582</v>
      </c>
    </row>
    <row r="38" spans="1:17">
      <c r="A38" s="484" t="s">
        <v>512</v>
      </c>
      <c r="B38" s="499" t="s">
        <v>513</v>
      </c>
      <c r="C38" s="327">
        <f>C20+(C20*$Q38)</f>
        <v>257500</v>
      </c>
      <c r="D38" s="327">
        <f t="shared" ref="D38:N38" si="11">D20+(D20*$Q38)</f>
        <v>0</v>
      </c>
      <c r="E38" s="327">
        <f t="shared" si="11"/>
        <v>257500</v>
      </c>
      <c r="F38" s="327">
        <f t="shared" si="11"/>
        <v>515000</v>
      </c>
      <c r="G38" s="327">
        <f t="shared" si="11"/>
        <v>0</v>
      </c>
      <c r="H38" s="327">
        <f t="shared" si="11"/>
        <v>515000</v>
      </c>
      <c r="I38" s="327">
        <f t="shared" si="11"/>
        <v>257500</v>
      </c>
      <c r="J38" s="327">
        <f t="shared" si="11"/>
        <v>0</v>
      </c>
      <c r="K38" s="327">
        <f t="shared" si="11"/>
        <v>257500</v>
      </c>
      <c r="L38" s="327">
        <f t="shared" si="11"/>
        <v>1030000</v>
      </c>
      <c r="M38" s="327">
        <f t="shared" si="11"/>
        <v>0</v>
      </c>
      <c r="N38" s="541">
        <f t="shared" si="11"/>
        <v>1030000</v>
      </c>
      <c r="O38" s="497" t="s">
        <v>581</v>
      </c>
      <c r="P38" s="498">
        <v>3</v>
      </c>
      <c r="Q38" s="329">
        <v>0.03</v>
      </c>
    </row>
    <row r="39" spans="1:17">
      <c r="A39" s="484"/>
      <c r="B39" s="499" t="s">
        <v>514</v>
      </c>
      <c r="C39" s="327">
        <f t="shared" ref="C39:N41" si="12">C21+(C21*$Q39)</f>
        <v>1545000</v>
      </c>
      <c r="D39" s="524">
        <f t="shared" ref="D39:N39" si="13">D21+(D21*$Q39)</f>
        <v>0</v>
      </c>
      <c r="E39" s="330">
        <f t="shared" si="13"/>
        <v>1545000</v>
      </c>
      <c r="F39" s="327">
        <f t="shared" si="13"/>
        <v>4120000</v>
      </c>
      <c r="G39" s="327">
        <f t="shared" si="13"/>
        <v>0</v>
      </c>
      <c r="H39" s="330">
        <f t="shared" si="13"/>
        <v>4120000</v>
      </c>
      <c r="I39" s="327">
        <f t="shared" si="13"/>
        <v>1545000</v>
      </c>
      <c r="J39" s="327">
        <f t="shared" si="13"/>
        <v>0</v>
      </c>
      <c r="K39" s="525">
        <f t="shared" si="13"/>
        <v>1545000</v>
      </c>
      <c r="L39" s="528">
        <f t="shared" si="13"/>
        <v>7210000</v>
      </c>
      <c r="M39" s="539">
        <f t="shared" si="13"/>
        <v>0</v>
      </c>
      <c r="N39" s="330">
        <f t="shared" si="13"/>
        <v>7210000</v>
      </c>
      <c r="O39" s="497" t="s">
        <v>581</v>
      </c>
      <c r="P39" s="498">
        <v>3</v>
      </c>
      <c r="Q39" s="329">
        <v>0.03</v>
      </c>
    </row>
    <row r="40" spans="1:17">
      <c r="A40" s="484" t="s">
        <v>515</v>
      </c>
      <c r="B40" s="547"/>
      <c r="C40" s="327">
        <f t="shared" si="12"/>
        <v>287500</v>
      </c>
      <c r="D40" s="524">
        <f t="shared" ref="D40:N40" si="14">D22+(D22*$Q40)</f>
        <v>0</v>
      </c>
      <c r="E40" s="330">
        <f t="shared" si="14"/>
        <v>287500</v>
      </c>
      <c r="F40" s="327">
        <f t="shared" si="14"/>
        <v>1150000</v>
      </c>
      <c r="G40" s="327">
        <f t="shared" si="14"/>
        <v>0</v>
      </c>
      <c r="H40" s="330">
        <f t="shared" si="14"/>
        <v>1150000</v>
      </c>
      <c r="I40" s="327">
        <f t="shared" si="14"/>
        <v>287500</v>
      </c>
      <c r="J40" s="327">
        <f t="shared" si="14"/>
        <v>0</v>
      </c>
      <c r="K40" s="525">
        <f t="shared" si="14"/>
        <v>287500</v>
      </c>
      <c r="L40" s="528">
        <f t="shared" si="14"/>
        <v>1725000</v>
      </c>
      <c r="M40" s="539">
        <f t="shared" si="14"/>
        <v>0</v>
      </c>
      <c r="N40" s="330">
        <f t="shared" si="14"/>
        <v>1725000</v>
      </c>
      <c r="O40" s="497" t="s">
        <v>581</v>
      </c>
      <c r="P40" s="498">
        <v>2</v>
      </c>
      <c r="Q40" s="329">
        <v>0.15</v>
      </c>
    </row>
    <row r="41" spans="1:17">
      <c r="A41" s="484" t="s">
        <v>516</v>
      </c>
      <c r="B41" s="547"/>
      <c r="C41" s="327">
        <f t="shared" si="12"/>
        <v>2012500</v>
      </c>
      <c r="D41" s="524">
        <f t="shared" ref="D41:N41" si="15">D23+(D23*$Q41)</f>
        <v>575000</v>
      </c>
      <c r="E41" s="330">
        <f t="shared" si="15"/>
        <v>2587500</v>
      </c>
      <c r="F41" s="327">
        <f t="shared" si="15"/>
        <v>5750000</v>
      </c>
      <c r="G41" s="327">
        <f t="shared" si="15"/>
        <v>1150000</v>
      </c>
      <c r="H41" s="330">
        <f t="shared" si="15"/>
        <v>6900000</v>
      </c>
      <c r="I41" s="327">
        <f t="shared" si="15"/>
        <v>2012500</v>
      </c>
      <c r="J41" s="327">
        <f t="shared" si="15"/>
        <v>575000</v>
      </c>
      <c r="K41" s="525">
        <f t="shared" si="15"/>
        <v>2587500</v>
      </c>
      <c r="L41" s="528">
        <f t="shared" si="15"/>
        <v>9775000</v>
      </c>
      <c r="M41" s="539">
        <f t="shared" si="15"/>
        <v>2300000</v>
      </c>
      <c r="N41" s="330">
        <f t="shared" si="15"/>
        <v>12075000</v>
      </c>
      <c r="O41" s="497" t="s">
        <v>581</v>
      </c>
      <c r="P41" s="498">
        <v>2</v>
      </c>
      <c r="Q41" s="329">
        <v>0.15</v>
      </c>
    </row>
    <row r="42" spans="1:17" ht="15" thickBot="1">
      <c r="A42" s="548" t="s">
        <v>21</v>
      </c>
      <c r="B42" s="549"/>
      <c r="C42" s="531">
        <f>SUM(C38:C41)</f>
        <v>4102500</v>
      </c>
      <c r="D42" s="529">
        <f t="shared" ref="D42:N42" si="16">SUM(D38:D41)</f>
        <v>575000</v>
      </c>
      <c r="E42" s="532">
        <f t="shared" si="16"/>
        <v>4677500</v>
      </c>
      <c r="F42" s="531">
        <f t="shared" si="16"/>
        <v>11535000</v>
      </c>
      <c r="G42" s="531">
        <f t="shared" si="16"/>
        <v>1150000</v>
      </c>
      <c r="H42" s="532">
        <f t="shared" si="16"/>
        <v>12685000</v>
      </c>
      <c r="I42" s="531">
        <f t="shared" si="16"/>
        <v>4102500</v>
      </c>
      <c r="J42" s="531">
        <f t="shared" si="16"/>
        <v>575000</v>
      </c>
      <c r="K42" s="529">
        <f t="shared" si="16"/>
        <v>4677500</v>
      </c>
      <c r="L42" s="529">
        <f t="shared" si="16"/>
        <v>19740000</v>
      </c>
      <c r="M42" s="518">
        <f t="shared" si="16"/>
        <v>2300000</v>
      </c>
      <c r="N42" s="518">
        <f t="shared" si="16"/>
        <v>22040000</v>
      </c>
      <c r="O42" s="545"/>
      <c r="P42" s="546"/>
      <c r="Q42" s="555">
        <f>(N42-N24)/N42</f>
        <v>9.2558983666061703E-2</v>
      </c>
    </row>
    <row r="45" spans="1:17" s="15" customFormat="1">
      <c r="A45" s="24" t="s">
        <v>585</v>
      </c>
    </row>
    <row r="46" spans="1:17" s="99" customFormat="1" ht="15" thickBot="1">
      <c r="A46" s="258"/>
    </row>
    <row r="47" spans="1:17">
      <c r="A47" s="550" t="s">
        <v>509</v>
      </c>
      <c r="B47" s="551"/>
      <c r="C47" s="563" t="s">
        <v>506</v>
      </c>
      <c r="D47" s="564"/>
      <c r="E47" s="565"/>
      <c r="F47" s="563" t="s">
        <v>507</v>
      </c>
      <c r="G47" s="564"/>
      <c r="H47" s="565"/>
      <c r="I47" s="542" t="s">
        <v>508</v>
      </c>
      <c r="J47" s="543"/>
      <c r="K47" s="544"/>
      <c r="L47" s="526" t="s">
        <v>586</v>
      </c>
      <c r="M47" s="527"/>
      <c r="N47" s="530"/>
    </row>
    <row r="48" spans="1:17">
      <c r="A48" s="552"/>
      <c r="B48" s="553"/>
      <c r="C48" s="559" t="s">
        <v>510</v>
      </c>
      <c r="D48" s="560" t="s">
        <v>511</v>
      </c>
      <c r="E48" s="536" t="s">
        <v>586</v>
      </c>
      <c r="F48" s="559" t="s">
        <v>510</v>
      </c>
      <c r="G48" s="560" t="s">
        <v>511</v>
      </c>
      <c r="H48" s="536" t="s">
        <v>26</v>
      </c>
      <c r="I48" s="559" t="s">
        <v>510</v>
      </c>
      <c r="J48" s="560" t="s">
        <v>511</v>
      </c>
      <c r="K48" s="556" t="s">
        <v>26</v>
      </c>
      <c r="L48" s="561" t="s">
        <v>510</v>
      </c>
      <c r="M48" s="562" t="s">
        <v>511</v>
      </c>
      <c r="N48" s="556" t="s">
        <v>26</v>
      </c>
    </row>
    <row r="49" spans="1:14">
      <c r="A49" s="484" t="s">
        <v>512</v>
      </c>
      <c r="B49" s="499" t="s">
        <v>513</v>
      </c>
      <c r="C49" s="327">
        <f>C38/'Assumptions + TAG factors'!$C$87*'Assumptions + TAG factors'!$C$83</f>
        <v>207701.41366134508</v>
      </c>
      <c r="D49" s="328">
        <f>D38/'Assumptions + TAG factors'!$C$87*'Assumptions + TAG factors'!$C$83</f>
        <v>0</v>
      </c>
      <c r="E49" s="330">
        <f>E38/'Assumptions + TAG factors'!$C$87*'Assumptions + TAG factors'!$C$83</f>
        <v>207701.41366134508</v>
      </c>
      <c r="F49" s="327">
        <f>F38/'Assumptions + TAG factors'!$C$87*'Assumptions + TAG factors'!$C$83</f>
        <v>415402.82732269017</v>
      </c>
      <c r="G49" s="328">
        <f>G38/'Assumptions + TAG factors'!$C$87*'Assumptions + TAG factors'!$C$83</f>
        <v>0</v>
      </c>
      <c r="H49" s="330">
        <f>H38/'Assumptions + TAG factors'!$C$87*'Assumptions + TAG factors'!$C$83</f>
        <v>415402.82732269017</v>
      </c>
      <c r="I49" s="327">
        <f>I38/'Assumptions + TAG factors'!$C$87*'Assumptions + TAG factors'!$C$83</f>
        <v>207701.41366134508</v>
      </c>
      <c r="J49" s="328">
        <f>J38/'Assumptions + TAG factors'!$C$87*'Assumptions + TAG factors'!$C$83</f>
        <v>0</v>
      </c>
      <c r="K49" s="330">
        <f>K38/'Assumptions + TAG factors'!$C$87*'Assumptions + TAG factors'!$C$83</f>
        <v>207701.41366134508</v>
      </c>
      <c r="L49" s="327">
        <f>L38/'Assumptions + TAG factors'!$C$87*'Assumptions + TAG factors'!$C$83</f>
        <v>830805.65464538033</v>
      </c>
      <c r="M49" s="328">
        <f>M38/'Assumptions + TAG factors'!$C$87*'Assumptions + TAG factors'!$C$83</f>
        <v>0</v>
      </c>
      <c r="N49" s="328">
        <f>N38/'Assumptions + TAG factors'!$C$87*'Assumptions + TAG factors'!$C$83</f>
        <v>830805.65464538033</v>
      </c>
    </row>
    <row r="50" spans="1:14">
      <c r="A50" s="484"/>
      <c r="B50" s="499" t="s">
        <v>514</v>
      </c>
      <c r="C50" s="327">
        <f>C39/'Assumptions + TAG factors'!$C$87*'Assumptions + TAG factors'!$C$83</f>
        <v>1246208.4819680706</v>
      </c>
      <c r="D50" s="328">
        <f>D39/'Assumptions + TAG factors'!$C$87*'Assumptions + TAG factors'!$C$83</f>
        <v>0</v>
      </c>
      <c r="E50" s="330">
        <f>E39/'Assumptions + TAG factors'!$C$87*'Assumptions + TAG factors'!$C$83</f>
        <v>1246208.4819680706</v>
      </c>
      <c r="F50" s="327">
        <f>F39/'Assumptions + TAG factors'!$C$87*'Assumptions + TAG factors'!$C$83</f>
        <v>3323222.6185815213</v>
      </c>
      <c r="G50" s="328">
        <f>G39/'Assumptions + TAG factors'!$C$87*'Assumptions + TAG factors'!$C$83</f>
        <v>0</v>
      </c>
      <c r="H50" s="330">
        <f>H39/'Assumptions + TAG factors'!$C$87*'Assumptions + TAG factors'!$C$83</f>
        <v>3323222.6185815213</v>
      </c>
      <c r="I50" s="327">
        <f>I39/'Assumptions + TAG factors'!$C$87*'Assumptions + TAG factors'!$C$83</f>
        <v>1246208.4819680706</v>
      </c>
      <c r="J50" s="328">
        <f>J39/'Assumptions + TAG factors'!$C$87*'Assumptions + TAG factors'!$C$83</f>
        <v>0</v>
      </c>
      <c r="K50" s="330">
        <f>K39/'Assumptions + TAG factors'!$C$87*'Assumptions + TAG factors'!$C$83</f>
        <v>1246208.4819680706</v>
      </c>
      <c r="L50" s="327">
        <f>L39/'Assumptions + TAG factors'!$C$87*'Assumptions + TAG factors'!$C$83</f>
        <v>5815639.5825176621</v>
      </c>
      <c r="M50" s="328">
        <f>M39/'Assumptions + TAG factors'!$C$87*'Assumptions + TAG factors'!$C$83</f>
        <v>0</v>
      </c>
      <c r="N50" s="328">
        <f>N39/'Assumptions + TAG factors'!$C$87*'Assumptions + TAG factors'!$C$83</f>
        <v>5815639.5825176621</v>
      </c>
    </row>
    <row r="51" spans="1:14">
      <c r="A51" s="484" t="s">
        <v>515</v>
      </c>
      <c r="B51" s="547"/>
      <c r="C51" s="327">
        <f>C40/'Assumptions + TAG factors'!$C$87*'Assumptions + TAG factors'!$C$83</f>
        <v>231899.63661218141</v>
      </c>
      <c r="D51" s="328">
        <f>D40/'Assumptions + TAG factors'!$C$87*'Assumptions + TAG factors'!$C$83</f>
        <v>0</v>
      </c>
      <c r="E51" s="330">
        <f>E40/'Assumptions + TAG factors'!$C$87*'Assumptions + TAG factors'!$C$83</f>
        <v>231899.63661218141</v>
      </c>
      <c r="F51" s="327">
        <f>F40/'Assumptions + TAG factors'!$C$87*'Assumptions + TAG factors'!$C$83</f>
        <v>927598.54644872562</v>
      </c>
      <c r="G51" s="328">
        <f>G40/'Assumptions + TAG factors'!$C$87*'Assumptions + TAG factors'!$C$83</f>
        <v>0</v>
      </c>
      <c r="H51" s="330">
        <f>H40/'Assumptions + TAG factors'!$C$87*'Assumptions + TAG factors'!$C$83</f>
        <v>927598.54644872562</v>
      </c>
      <c r="I51" s="327">
        <f>I40/'Assumptions + TAG factors'!$C$87*'Assumptions + TAG factors'!$C$83</f>
        <v>231899.63661218141</v>
      </c>
      <c r="J51" s="328">
        <f>J40/'Assumptions + TAG factors'!$C$87*'Assumptions + TAG factors'!$C$83</f>
        <v>0</v>
      </c>
      <c r="K51" s="330">
        <f>K40/'Assumptions + TAG factors'!$C$87*'Assumptions + TAG factors'!$C$83</f>
        <v>231899.63661218141</v>
      </c>
      <c r="L51" s="327">
        <f>L40/'Assumptions + TAG factors'!$C$87*'Assumptions + TAG factors'!$C$83</f>
        <v>1391397.8196730884</v>
      </c>
      <c r="M51" s="328">
        <f>M40/'Assumptions + TAG factors'!$C$87*'Assumptions + TAG factors'!$C$83</f>
        <v>0</v>
      </c>
      <c r="N51" s="328">
        <f>N40/'Assumptions + TAG factors'!$C$87*'Assumptions + TAG factors'!$C$83</f>
        <v>1391397.8196730884</v>
      </c>
    </row>
    <row r="52" spans="1:14">
      <c r="A52" s="484" t="s">
        <v>516</v>
      </c>
      <c r="B52" s="547"/>
      <c r="C52" s="327">
        <f>C41/'Assumptions + TAG factors'!$C$87*'Assumptions + TAG factors'!$C$83</f>
        <v>1623297.4562852697</v>
      </c>
      <c r="D52" s="328">
        <f>D41/'Assumptions + TAG factors'!$C$87*'Assumptions + TAG factors'!$C$83</f>
        <v>463799.27322436281</v>
      </c>
      <c r="E52" s="330">
        <f>E41/'Assumptions + TAG factors'!$C$87*'Assumptions + TAG factors'!$C$83</f>
        <v>2087096.7295096328</v>
      </c>
      <c r="F52" s="327">
        <f>F41/'Assumptions + TAG factors'!$C$87*'Assumptions + TAG factors'!$C$83</f>
        <v>4637992.7322436282</v>
      </c>
      <c r="G52" s="328">
        <f>G41/'Assumptions + TAG factors'!$C$87*'Assumptions + TAG factors'!$C$83</f>
        <v>927598.54644872562</v>
      </c>
      <c r="H52" s="330">
        <f>H41/'Assumptions + TAG factors'!$C$87*'Assumptions + TAG factors'!$C$83</f>
        <v>5565591.2786923535</v>
      </c>
      <c r="I52" s="327">
        <f>I41/'Assumptions + TAG factors'!$C$87*'Assumptions + TAG factors'!$C$83</f>
        <v>1623297.4562852697</v>
      </c>
      <c r="J52" s="328">
        <f>J41/'Assumptions + TAG factors'!$C$87*'Assumptions + TAG factors'!$C$83</f>
        <v>463799.27322436281</v>
      </c>
      <c r="K52" s="330">
        <f>K41/'Assumptions + TAG factors'!$C$87*'Assumptions + TAG factors'!$C$83</f>
        <v>2087096.7295096328</v>
      </c>
      <c r="L52" s="327">
        <f>L41/'Assumptions + TAG factors'!$C$87*'Assumptions + TAG factors'!$C$83</f>
        <v>7884587.644814169</v>
      </c>
      <c r="M52" s="328">
        <f>M41/'Assumptions + TAG factors'!$C$87*'Assumptions + TAG factors'!$C$83</f>
        <v>1855197.0928974512</v>
      </c>
      <c r="N52" s="328">
        <f>N41/'Assumptions + TAG factors'!$C$87*'Assumptions + TAG factors'!$C$83</f>
        <v>9739784.7377116196</v>
      </c>
    </row>
    <row r="53" spans="1:14" ht="15" thickBot="1">
      <c r="A53" s="548" t="s">
        <v>21</v>
      </c>
      <c r="B53" s="549"/>
      <c r="C53" s="531">
        <f>SUM(C49:C52)</f>
        <v>3309106.9885268668</v>
      </c>
      <c r="D53" s="558">
        <f>SUM(D49:D52)</f>
        <v>463799.27322436281</v>
      </c>
      <c r="E53" s="557">
        <f>SUM(E49:E52)</f>
        <v>3772906.2617512299</v>
      </c>
      <c r="F53" s="531">
        <f>SUM(F49:F52)</f>
        <v>9304216.7245965656</v>
      </c>
      <c r="G53" s="558">
        <f t="shared" ref="G53:K53" si="17">SUM(G49:G52)</f>
        <v>927598.54644872562</v>
      </c>
      <c r="H53" s="557">
        <f t="shared" si="17"/>
        <v>10231815.27104529</v>
      </c>
      <c r="I53" s="531">
        <f t="shared" si="17"/>
        <v>3309106.9885268668</v>
      </c>
      <c r="J53" s="558">
        <f t="shared" si="17"/>
        <v>463799.27322436281</v>
      </c>
      <c r="K53" s="557">
        <f t="shared" si="17"/>
        <v>3772906.2617512299</v>
      </c>
      <c r="L53" s="531">
        <f>SUM(L49:L52)</f>
        <v>15922430.701650299</v>
      </c>
      <c r="M53" s="558">
        <f>SUM(M49:M52)</f>
        <v>1855197.0928974512</v>
      </c>
      <c r="N53" s="558">
        <f>SUM(N49:N52)</f>
        <v>17777627.794547752</v>
      </c>
    </row>
  </sheetData>
  <mergeCells count="35">
    <mergeCell ref="A49:A50"/>
    <mergeCell ref="A51:B51"/>
    <mergeCell ref="A52:B52"/>
    <mergeCell ref="A53:B53"/>
    <mergeCell ref="I47:K47"/>
    <mergeCell ref="F47:H47"/>
    <mergeCell ref="A47:B48"/>
    <mergeCell ref="C47:E47"/>
    <mergeCell ref="L47:N47"/>
    <mergeCell ref="O36:Q36"/>
    <mergeCell ref="A42:B42"/>
    <mergeCell ref="A36:B37"/>
    <mergeCell ref="A18:B19"/>
    <mergeCell ref="A5:B6"/>
    <mergeCell ref="A11:C11"/>
    <mergeCell ref="A24:B24"/>
    <mergeCell ref="C18:E18"/>
    <mergeCell ref="F18:H18"/>
    <mergeCell ref="C36:E36"/>
    <mergeCell ref="F36:H36"/>
    <mergeCell ref="A38:A39"/>
    <mergeCell ref="A40:B40"/>
    <mergeCell ref="A41:B41"/>
    <mergeCell ref="E5:H5"/>
    <mergeCell ref="I18:K18"/>
    <mergeCell ref="L18:N18"/>
    <mergeCell ref="I36:K36"/>
    <mergeCell ref="L36:N36"/>
    <mergeCell ref="A9:B9"/>
    <mergeCell ref="A10:B10"/>
    <mergeCell ref="C5:D5"/>
    <mergeCell ref="A7:A8"/>
    <mergeCell ref="A23:B23"/>
    <mergeCell ref="A20:A21"/>
    <mergeCell ref="A22:B22"/>
  </mergeCells>
  <phoneticPr fontId="63"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A078A-4BA2-4C89-AFBA-5F74469C7FC2}">
  <dimension ref="A1:X145"/>
  <sheetViews>
    <sheetView topLeftCell="A76" workbookViewId="0">
      <selection activeCell="B140" sqref="B140"/>
    </sheetView>
  </sheetViews>
  <sheetFormatPr defaultRowHeight="14.4"/>
  <cols>
    <col min="1" max="1" width="55.44140625" customWidth="1"/>
    <col min="2" max="2" width="28.88671875" customWidth="1"/>
    <col min="3" max="3" width="12" customWidth="1"/>
    <col min="4" max="4" width="18.5546875" customWidth="1"/>
    <col min="5" max="5" width="14.33203125" customWidth="1"/>
    <col min="6" max="6" width="11.21875" bestFit="1" customWidth="1"/>
    <col min="15" max="15" width="10.77734375" bestFit="1" customWidth="1"/>
    <col min="20" max="20" width="21.88671875" customWidth="1"/>
  </cols>
  <sheetData>
    <row r="1" spans="1:24">
      <c r="A1" s="119" t="s">
        <v>187</v>
      </c>
      <c r="B1" s="120"/>
      <c r="C1" s="120"/>
      <c r="D1" s="120"/>
      <c r="E1" s="120"/>
      <c r="F1" s="120"/>
      <c r="G1" s="120"/>
      <c r="H1" s="120"/>
      <c r="I1" s="120"/>
      <c r="J1" s="120"/>
      <c r="K1" s="120"/>
      <c r="L1" s="120"/>
      <c r="M1" s="120"/>
      <c r="N1" s="120"/>
      <c r="O1" s="120"/>
      <c r="P1" s="120"/>
      <c r="Q1" s="120"/>
      <c r="R1" s="120"/>
      <c r="S1" s="120"/>
      <c r="T1" s="120"/>
    </row>
    <row r="2" spans="1:24">
      <c r="A2" s="15" t="s">
        <v>112</v>
      </c>
      <c r="B2" s="95" t="s">
        <v>117</v>
      </c>
      <c r="C2" s="95"/>
      <c r="D2" s="95"/>
      <c r="E2" s="95"/>
      <c r="F2" s="95"/>
      <c r="G2" s="95"/>
      <c r="H2" s="95"/>
      <c r="I2" s="95"/>
      <c r="J2" s="95"/>
      <c r="K2" s="95"/>
      <c r="L2" s="95"/>
      <c r="M2" s="95"/>
      <c r="N2" s="95"/>
      <c r="O2" s="95"/>
      <c r="P2" s="95"/>
      <c r="Q2" s="95"/>
      <c r="R2" s="95"/>
      <c r="S2" s="95"/>
      <c r="T2" s="95"/>
    </row>
    <row r="3" spans="1:24">
      <c r="A3" s="97" t="s">
        <v>115</v>
      </c>
      <c r="B3" s="95" t="s">
        <v>116</v>
      </c>
      <c r="C3" s="95"/>
      <c r="D3" s="95"/>
      <c r="E3" s="95"/>
      <c r="F3" s="95"/>
      <c r="G3" s="95"/>
      <c r="H3" s="95"/>
      <c r="I3" s="95"/>
      <c r="J3" s="95"/>
      <c r="K3" s="95"/>
      <c r="L3" s="95"/>
      <c r="M3" s="95"/>
      <c r="N3" s="95"/>
      <c r="O3" s="95"/>
      <c r="P3" s="95"/>
      <c r="Q3" s="95"/>
      <c r="R3" s="95"/>
      <c r="S3" s="95"/>
      <c r="T3" s="95"/>
    </row>
    <row r="4" spans="1:24">
      <c r="A4" s="97" t="s">
        <v>118</v>
      </c>
      <c r="B4" s="95" t="s">
        <v>119</v>
      </c>
      <c r="C4" s="95"/>
      <c r="D4" s="95"/>
      <c r="E4" s="95"/>
      <c r="F4" s="95"/>
      <c r="G4" s="95"/>
      <c r="H4" s="95"/>
      <c r="I4" s="95"/>
      <c r="J4" s="95"/>
      <c r="K4" s="95"/>
      <c r="L4" s="95"/>
      <c r="M4" s="95"/>
      <c r="N4" s="95"/>
      <c r="O4" s="95"/>
      <c r="P4" s="95"/>
      <c r="Q4" s="95"/>
      <c r="R4" s="95"/>
      <c r="S4" s="95"/>
      <c r="T4" s="95"/>
    </row>
    <row r="5" spans="1:24">
      <c r="A5" s="97" t="s">
        <v>120</v>
      </c>
      <c r="B5" s="95" t="s">
        <v>121</v>
      </c>
      <c r="C5" s="95"/>
      <c r="D5" s="95"/>
      <c r="E5" s="95"/>
      <c r="F5" s="95"/>
      <c r="G5" s="95"/>
      <c r="H5" s="95"/>
      <c r="I5" s="95"/>
      <c r="J5" s="95"/>
      <c r="K5" s="95"/>
      <c r="L5" s="95"/>
      <c r="M5" s="95"/>
      <c r="N5" s="95"/>
      <c r="O5" s="95"/>
      <c r="P5" s="95"/>
      <c r="Q5" s="95"/>
      <c r="R5" s="95"/>
      <c r="S5" s="95"/>
      <c r="T5" s="95"/>
    </row>
    <row r="7" spans="1:24">
      <c r="A7" s="98" t="s">
        <v>122</v>
      </c>
    </row>
    <row r="8" spans="1:24">
      <c r="A8" s="15" t="s">
        <v>124</v>
      </c>
      <c r="B8" s="104">
        <v>2022</v>
      </c>
      <c r="C8" s="95"/>
      <c r="D8" s="95" t="s">
        <v>125</v>
      </c>
      <c r="E8" s="95"/>
      <c r="F8" s="95"/>
      <c r="G8" s="95"/>
      <c r="H8" s="95"/>
      <c r="I8" s="95"/>
      <c r="J8" s="95"/>
      <c r="K8" s="95"/>
      <c r="L8" s="95"/>
      <c r="M8" s="95"/>
      <c r="N8" s="95"/>
      <c r="O8" s="95"/>
      <c r="P8" s="95"/>
      <c r="Q8" s="95"/>
      <c r="R8" s="95"/>
      <c r="S8" s="95"/>
      <c r="T8" s="95"/>
    </row>
    <row r="9" spans="1:24">
      <c r="A9" s="15" t="s">
        <v>126</v>
      </c>
      <c r="B9" s="104">
        <v>2024</v>
      </c>
      <c r="C9" s="95"/>
      <c r="D9" s="95"/>
      <c r="E9" s="95"/>
      <c r="F9" s="95"/>
      <c r="G9" s="95"/>
      <c r="H9" s="95"/>
      <c r="I9" s="95"/>
      <c r="J9" s="95"/>
      <c r="K9" s="95"/>
      <c r="L9" s="95"/>
      <c r="M9" s="95"/>
      <c r="N9" s="95"/>
      <c r="O9" s="95"/>
      <c r="P9" s="95"/>
      <c r="Q9" s="95"/>
      <c r="R9" s="95"/>
      <c r="S9" s="95"/>
      <c r="T9" s="95"/>
    </row>
    <row r="10" spans="1:24">
      <c r="A10" s="15" t="s">
        <v>127</v>
      </c>
      <c r="B10" s="104">
        <v>30</v>
      </c>
      <c r="C10" s="95" t="s">
        <v>128</v>
      </c>
      <c r="D10" s="95"/>
      <c r="E10" s="95"/>
      <c r="F10" s="95"/>
      <c r="G10" s="95"/>
      <c r="H10" s="95"/>
      <c r="I10" s="95"/>
      <c r="J10" s="95"/>
      <c r="K10" s="95"/>
      <c r="L10" s="95"/>
      <c r="M10" s="95"/>
      <c r="N10" s="95"/>
      <c r="O10" s="95"/>
      <c r="P10" s="95"/>
      <c r="Q10" s="95"/>
      <c r="R10" s="95"/>
      <c r="S10" s="95"/>
      <c r="T10" s="95"/>
    </row>
    <row r="11" spans="1:24">
      <c r="A11" s="15" t="s">
        <v>129</v>
      </c>
      <c r="B11" s="104" t="s">
        <v>123</v>
      </c>
      <c r="C11" s="95"/>
      <c r="D11" s="95"/>
      <c r="E11" s="95"/>
      <c r="F11" s="95"/>
      <c r="G11" s="95"/>
      <c r="H11" s="95"/>
      <c r="I11" s="95"/>
      <c r="J11" s="95"/>
      <c r="K11" s="95"/>
      <c r="L11" s="95"/>
      <c r="M11" s="95"/>
      <c r="N11" s="95"/>
      <c r="O11" s="95"/>
      <c r="P11" s="95"/>
      <c r="Q11" s="95"/>
      <c r="R11" s="95"/>
      <c r="S11" s="95"/>
      <c r="T11" s="95"/>
    </row>
    <row r="12" spans="1:24">
      <c r="A12" s="99"/>
      <c r="B12" s="99"/>
      <c r="C12" s="99"/>
      <c r="D12" s="99"/>
      <c r="E12" s="99"/>
      <c r="F12" s="99"/>
      <c r="G12" s="99"/>
      <c r="H12" s="99"/>
      <c r="I12" s="99"/>
      <c r="J12" s="99"/>
      <c r="K12" s="99"/>
      <c r="L12" s="99"/>
      <c r="M12" s="99"/>
      <c r="N12" s="99"/>
      <c r="O12" s="99"/>
      <c r="P12" s="99"/>
      <c r="Q12" s="99"/>
      <c r="R12" s="99"/>
      <c r="S12" s="99"/>
      <c r="T12" s="99"/>
      <c r="U12" s="99"/>
      <c r="V12" s="99"/>
      <c r="W12" s="99"/>
      <c r="X12" s="99"/>
    </row>
    <row r="13" spans="1:24">
      <c r="A13" s="101" t="s">
        <v>132</v>
      </c>
      <c r="B13" s="99"/>
      <c r="C13" s="99"/>
      <c r="D13" s="99"/>
      <c r="E13" s="99"/>
      <c r="F13" s="99"/>
      <c r="G13" s="99"/>
      <c r="H13" s="99"/>
      <c r="I13" s="99"/>
      <c r="J13" s="99"/>
      <c r="K13" s="99"/>
      <c r="L13" s="99"/>
      <c r="M13" s="99"/>
      <c r="N13" s="99"/>
      <c r="O13" s="99"/>
      <c r="P13" s="99"/>
      <c r="Q13" s="99"/>
      <c r="R13" s="99"/>
      <c r="S13" s="99"/>
      <c r="T13" s="99"/>
      <c r="U13" s="99"/>
      <c r="V13" s="99"/>
      <c r="W13" s="99"/>
      <c r="X13" s="99"/>
    </row>
    <row r="14" spans="1:24">
      <c r="A14" s="15" t="s">
        <v>165</v>
      </c>
      <c r="B14" s="114">
        <v>332900</v>
      </c>
      <c r="C14" s="95"/>
      <c r="D14" s="95" t="s">
        <v>36</v>
      </c>
      <c r="E14" s="95" t="s">
        <v>131</v>
      </c>
      <c r="F14" s="95"/>
      <c r="G14" s="95"/>
      <c r="H14" s="95"/>
      <c r="I14" s="95"/>
      <c r="J14" s="95"/>
      <c r="K14" s="95"/>
      <c r="L14" s="95"/>
      <c r="M14" s="95"/>
      <c r="N14" s="95"/>
      <c r="O14" s="95"/>
      <c r="P14" s="95"/>
      <c r="Q14" s="95"/>
      <c r="R14" s="95"/>
      <c r="S14" s="95"/>
      <c r="T14" s="95"/>
      <c r="U14" s="99"/>
      <c r="V14" s="99"/>
      <c r="W14" s="99"/>
      <c r="X14" s="99"/>
    </row>
    <row r="15" spans="1:24">
      <c r="A15" s="15" t="s">
        <v>166</v>
      </c>
      <c r="B15" s="114">
        <f>225100+38200-5400</f>
        <v>257900</v>
      </c>
      <c r="C15" s="95"/>
      <c r="D15" s="95" t="s">
        <v>36</v>
      </c>
      <c r="E15" s="95" t="s">
        <v>131</v>
      </c>
      <c r="F15" s="95"/>
      <c r="G15" s="95"/>
      <c r="H15" s="95"/>
      <c r="I15" s="95"/>
      <c r="J15" s="95"/>
      <c r="K15" s="95"/>
      <c r="L15" s="95"/>
      <c r="M15" s="95"/>
      <c r="N15" s="95"/>
      <c r="O15" s="95"/>
      <c r="P15" s="95"/>
      <c r="Q15" s="95"/>
      <c r="R15" s="95"/>
      <c r="S15" s="95"/>
      <c r="T15" s="95"/>
      <c r="U15" s="99"/>
      <c r="V15" s="99"/>
      <c r="W15" s="99"/>
      <c r="X15" s="99"/>
    </row>
    <row r="16" spans="1:24">
      <c r="A16" s="486" t="s">
        <v>133</v>
      </c>
      <c r="B16" s="111" t="s">
        <v>134</v>
      </c>
      <c r="C16" s="103" t="s">
        <v>135</v>
      </c>
      <c r="D16" s="103" t="s">
        <v>136</v>
      </c>
      <c r="E16" s="103" t="s">
        <v>137</v>
      </c>
      <c r="F16" s="95"/>
      <c r="G16" s="95"/>
      <c r="H16" s="95"/>
      <c r="I16" s="95"/>
      <c r="J16" s="95"/>
      <c r="K16" s="95"/>
      <c r="L16" s="95"/>
      <c r="M16" s="95"/>
      <c r="N16" s="95"/>
      <c r="O16" s="95"/>
      <c r="P16" s="95"/>
      <c r="Q16" s="95"/>
      <c r="R16" s="95"/>
      <c r="S16" s="95"/>
      <c r="T16" s="95"/>
      <c r="U16" s="99"/>
      <c r="V16" s="99"/>
      <c r="W16" s="99"/>
      <c r="X16" s="99"/>
    </row>
    <row r="17" spans="1:24">
      <c r="A17" s="486"/>
      <c r="B17" s="115">
        <f>15.9%-C17-D17-E17</f>
        <v>4.7000000000000014E-2</v>
      </c>
      <c r="C17" s="115">
        <f>11.2%-E17-D17</f>
        <v>5.099999999999999E-2</v>
      </c>
      <c r="D17" s="115">
        <f>6.1%-E17</f>
        <v>2.6999999999999996E-2</v>
      </c>
      <c r="E17" s="115">
        <v>3.4000000000000002E-2</v>
      </c>
      <c r="F17" s="95"/>
      <c r="G17" s="95" t="s">
        <v>138</v>
      </c>
      <c r="H17" s="95"/>
      <c r="I17" s="95"/>
      <c r="J17" s="95"/>
      <c r="K17" s="95"/>
      <c r="L17" s="95"/>
      <c r="M17" s="95"/>
      <c r="N17" s="95"/>
      <c r="O17" s="95"/>
      <c r="P17" s="95"/>
      <c r="Q17" s="95"/>
      <c r="R17" s="95"/>
      <c r="S17" s="95"/>
      <c r="T17" s="95"/>
    </row>
    <row r="18" spans="1:24">
      <c r="A18" s="15" t="s">
        <v>139</v>
      </c>
      <c r="B18" s="113">
        <v>12</v>
      </c>
      <c r="C18" s="116">
        <v>52</v>
      </c>
      <c r="D18" s="116">
        <f>C18*3</f>
        <v>156</v>
      </c>
      <c r="E18" s="116">
        <f>C18*5</f>
        <v>260</v>
      </c>
      <c r="F18" s="99"/>
      <c r="G18" s="99"/>
      <c r="H18" s="99"/>
      <c r="I18" s="99"/>
      <c r="J18" s="99"/>
      <c r="K18" s="99"/>
      <c r="L18" s="99"/>
      <c r="M18" s="99"/>
      <c r="N18" s="99"/>
      <c r="O18" s="99"/>
      <c r="P18" s="99"/>
      <c r="Q18" s="99"/>
      <c r="R18" s="99"/>
      <c r="S18" s="99"/>
      <c r="T18" s="99"/>
      <c r="U18" s="99"/>
      <c r="V18" s="99"/>
      <c r="W18" s="99"/>
      <c r="X18" s="99"/>
    </row>
    <row r="19" spans="1:24">
      <c r="A19" s="487" t="s">
        <v>169</v>
      </c>
      <c r="B19" s="109">
        <f>$B$15*B17*B18</f>
        <v>145455.60000000003</v>
      </c>
      <c r="C19" s="109">
        <f t="shared" ref="C19:E19" si="0">$B$15*C17*C18</f>
        <v>683950.79999999993</v>
      </c>
      <c r="D19" s="109">
        <f t="shared" si="0"/>
        <v>1086274.7999999998</v>
      </c>
      <c r="E19" s="109">
        <f t="shared" si="0"/>
        <v>2279836</v>
      </c>
    </row>
    <row r="20" spans="1:24">
      <c r="A20" s="487"/>
      <c r="B20" s="108">
        <f>SUM(B19:E19)</f>
        <v>4195517.1999999993</v>
      </c>
    </row>
    <row r="21" spans="1:24">
      <c r="A21" s="110" t="s">
        <v>140</v>
      </c>
      <c r="B21" s="106">
        <f>B20/365</f>
        <v>11494.567671232875</v>
      </c>
      <c r="C21" s="95"/>
      <c r="D21" s="95" t="s">
        <v>162</v>
      </c>
      <c r="E21" s="95"/>
      <c r="F21" s="95"/>
      <c r="G21" s="95"/>
      <c r="H21" s="95"/>
      <c r="I21" s="95"/>
      <c r="J21" s="95"/>
      <c r="K21" s="95"/>
      <c r="L21" s="95"/>
      <c r="M21" s="95"/>
      <c r="N21" s="95"/>
      <c r="O21" s="95"/>
      <c r="P21" s="95"/>
      <c r="Q21" s="95"/>
      <c r="R21" s="95"/>
      <c r="S21" s="95"/>
      <c r="T21" s="95"/>
    </row>
    <row r="23" spans="1:24">
      <c r="A23" s="96" t="s">
        <v>146</v>
      </c>
    </row>
    <row r="24" spans="1:24">
      <c r="A24" s="15" t="s">
        <v>147</v>
      </c>
      <c r="B24" s="115">
        <v>0.03</v>
      </c>
      <c r="C24" s="95"/>
      <c r="D24" s="95" t="s">
        <v>149</v>
      </c>
      <c r="E24" s="95" t="s">
        <v>504</v>
      </c>
      <c r="F24" s="95"/>
      <c r="G24" s="95"/>
      <c r="H24" s="95"/>
      <c r="I24" s="95"/>
      <c r="J24" s="95"/>
      <c r="K24" s="95"/>
      <c r="L24" s="95"/>
      <c r="M24" s="95"/>
      <c r="N24" s="95"/>
      <c r="O24" s="95"/>
      <c r="P24" s="95"/>
      <c r="Q24" s="95"/>
      <c r="R24" s="95"/>
      <c r="S24" s="95"/>
      <c r="T24" s="95"/>
    </row>
    <row r="25" spans="1:24">
      <c r="A25" s="15" t="s">
        <v>148</v>
      </c>
      <c r="B25" s="106">
        <f>B21+(B21*B24)</f>
        <v>11839.404701369862</v>
      </c>
      <c r="C25" s="95"/>
      <c r="D25" s="112" t="s">
        <v>155</v>
      </c>
      <c r="E25" s="95"/>
      <c r="F25" s="95"/>
      <c r="G25" s="95"/>
      <c r="H25" s="95"/>
      <c r="I25" s="95"/>
      <c r="J25" s="95"/>
      <c r="K25" s="95"/>
      <c r="L25" s="95"/>
      <c r="M25" s="95"/>
      <c r="N25" s="95"/>
      <c r="O25" s="95"/>
      <c r="P25" s="95"/>
      <c r="Q25" s="95"/>
      <c r="R25" s="95"/>
      <c r="S25" s="95"/>
      <c r="T25" s="95"/>
    </row>
    <row r="26" spans="1:24">
      <c r="A26" s="15" t="s">
        <v>439</v>
      </c>
      <c r="B26" s="113">
        <f>B25-B21</f>
        <v>344.83703013698687</v>
      </c>
      <c r="C26" s="95"/>
      <c r="D26" s="112"/>
      <c r="E26" s="95"/>
      <c r="F26" s="95"/>
      <c r="G26" s="95"/>
      <c r="H26" s="95"/>
      <c r="I26" s="95"/>
      <c r="J26" s="95"/>
      <c r="K26" s="95"/>
      <c r="L26" s="95"/>
      <c r="M26" s="95"/>
      <c r="N26" s="95"/>
      <c r="O26" s="95"/>
      <c r="P26" s="95"/>
      <c r="Q26" s="95"/>
      <c r="R26" s="95"/>
      <c r="S26" s="95"/>
      <c r="T26" s="95"/>
    </row>
    <row r="27" spans="1:24">
      <c r="A27" s="15" t="s">
        <v>150</v>
      </c>
      <c r="B27" s="105">
        <v>0.03</v>
      </c>
      <c r="C27" s="95"/>
      <c r="D27" s="112" t="s">
        <v>155</v>
      </c>
      <c r="E27" s="95"/>
      <c r="F27" s="95" t="s">
        <v>36</v>
      </c>
      <c r="G27" s="95" t="s">
        <v>151</v>
      </c>
      <c r="H27" s="95"/>
      <c r="I27" s="95"/>
      <c r="J27" s="95"/>
      <c r="K27" s="95"/>
      <c r="L27" s="95"/>
      <c r="M27" s="95"/>
      <c r="N27" s="95"/>
      <c r="O27" s="95"/>
      <c r="P27" s="95"/>
      <c r="Q27" s="95"/>
      <c r="R27" s="95"/>
      <c r="S27" s="95"/>
      <c r="T27" s="95"/>
    </row>
    <row r="28" spans="1:24">
      <c r="B28" s="14"/>
    </row>
    <row r="29" spans="1:24">
      <c r="A29" s="96" t="s">
        <v>171</v>
      </c>
      <c r="B29" s="14"/>
    </row>
    <row r="30" spans="1:24">
      <c r="A30" s="118" t="s">
        <v>156</v>
      </c>
      <c r="B30" s="117" t="s">
        <v>157</v>
      </c>
      <c r="C30" s="95"/>
      <c r="D30" s="95" t="s">
        <v>155</v>
      </c>
      <c r="E30" s="95"/>
      <c r="F30" s="95" t="s">
        <v>36</v>
      </c>
      <c r="G30" s="95" t="s">
        <v>160</v>
      </c>
      <c r="H30" s="95"/>
      <c r="I30" s="95"/>
      <c r="J30" s="95"/>
      <c r="K30" s="95"/>
      <c r="L30" s="95"/>
      <c r="M30" s="95"/>
      <c r="N30" s="95"/>
      <c r="O30" s="95"/>
      <c r="P30" s="95"/>
      <c r="Q30" s="95"/>
      <c r="R30" s="95"/>
      <c r="S30" s="95"/>
      <c r="T30" s="95"/>
    </row>
    <row r="31" spans="1:24">
      <c r="A31" s="118" t="s">
        <v>158</v>
      </c>
      <c r="B31" s="117" t="s">
        <v>159</v>
      </c>
      <c r="C31" s="95"/>
      <c r="D31" s="95" t="s">
        <v>155</v>
      </c>
      <c r="E31" s="95"/>
      <c r="F31" s="95" t="s">
        <v>36</v>
      </c>
      <c r="G31" s="95" t="s">
        <v>161</v>
      </c>
      <c r="H31" s="95"/>
      <c r="I31" s="95"/>
      <c r="J31" s="95"/>
      <c r="K31" s="95"/>
      <c r="L31" s="95"/>
      <c r="M31" s="95"/>
      <c r="N31" s="95"/>
      <c r="O31" s="95"/>
      <c r="P31" s="95"/>
      <c r="Q31" s="95"/>
      <c r="R31" s="95"/>
      <c r="S31" s="95"/>
      <c r="T31" s="95"/>
    </row>
    <row r="32" spans="1:24">
      <c r="B32" s="14"/>
    </row>
    <row r="33" spans="1:24">
      <c r="A33" s="101" t="s">
        <v>141</v>
      </c>
      <c r="B33" s="99"/>
      <c r="C33" s="99"/>
      <c r="D33" s="99"/>
      <c r="E33" s="99"/>
      <c r="F33" s="99"/>
      <c r="G33" s="99"/>
      <c r="H33" s="99"/>
      <c r="I33" s="99"/>
      <c r="J33" s="99"/>
      <c r="K33" s="99"/>
      <c r="L33" s="99"/>
      <c r="M33" s="99"/>
      <c r="N33" s="99"/>
      <c r="O33" s="99"/>
      <c r="P33" s="99"/>
      <c r="Q33" s="99"/>
      <c r="R33" s="99"/>
      <c r="S33" s="99"/>
      <c r="T33" s="99"/>
      <c r="U33" s="99"/>
      <c r="V33" s="99"/>
      <c r="W33" s="99"/>
      <c r="X33" s="99"/>
    </row>
    <row r="34" spans="1:24">
      <c r="A34" s="15" t="s">
        <v>130</v>
      </c>
      <c r="B34" s="114">
        <v>332900</v>
      </c>
      <c r="C34" s="95"/>
      <c r="D34" s="95" t="s">
        <v>36</v>
      </c>
      <c r="E34" s="95" t="s">
        <v>131</v>
      </c>
      <c r="F34" s="95"/>
      <c r="G34" s="95"/>
      <c r="H34" s="95"/>
      <c r="I34" s="95"/>
      <c r="J34" s="95"/>
      <c r="K34" s="95"/>
      <c r="L34" s="95"/>
      <c r="M34" s="95"/>
      <c r="N34" s="95"/>
      <c r="O34" s="95"/>
      <c r="P34" s="95"/>
      <c r="Q34" s="95"/>
      <c r="R34" s="95"/>
      <c r="S34" s="95"/>
      <c r="T34" s="95"/>
      <c r="U34" s="99"/>
      <c r="V34" s="99"/>
      <c r="W34" s="99"/>
      <c r="X34" s="99"/>
    </row>
    <row r="35" spans="1:24">
      <c r="A35" s="15" t="s">
        <v>142</v>
      </c>
      <c r="B35" s="114">
        <f>225100+38200-5400</f>
        <v>257900</v>
      </c>
      <c r="C35" s="95"/>
      <c r="D35" s="95" t="s">
        <v>36</v>
      </c>
      <c r="E35" s="95" t="s">
        <v>131</v>
      </c>
      <c r="F35" s="95"/>
      <c r="G35" s="95"/>
      <c r="H35" s="95"/>
      <c r="I35" s="95"/>
      <c r="J35" s="95"/>
      <c r="K35" s="95"/>
      <c r="L35" s="95"/>
      <c r="M35" s="95"/>
      <c r="N35" s="95"/>
      <c r="O35" s="95"/>
      <c r="P35" s="95"/>
      <c r="Q35" s="95"/>
      <c r="R35" s="95"/>
      <c r="S35" s="95"/>
      <c r="T35" s="95"/>
      <c r="U35" s="99"/>
      <c r="V35" s="99"/>
      <c r="W35" s="99"/>
      <c r="X35" s="99"/>
    </row>
    <row r="36" spans="1:24">
      <c r="A36" s="486" t="s">
        <v>143</v>
      </c>
      <c r="B36" s="102" t="s">
        <v>134</v>
      </c>
      <c r="C36" s="15" t="s">
        <v>135</v>
      </c>
      <c r="D36" s="15" t="s">
        <v>136</v>
      </c>
      <c r="E36" s="15" t="s">
        <v>137</v>
      </c>
      <c r="F36" s="95"/>
      <c r="G36" s="95"/>
      <c r="H36" s="95"/>
      <c r="I36" s="95"/>
      <c r="J36" s="95"/>
      <c r="K36" s="95"/>
      <c r="L36" s="95"/>
      <c r="M36" s="95"/>
      <c r="N36" s="95"/>
      <c r="O36" s="95"/>
      <c r="P36" s="95"/>
      <c r="Q36" s="95"/>
      <c r="R36" s="95"/>
      <c r="S36" s="95"/>
      <c r="T36" s="95"/>
      <c r="U36" s="99"/>
      <c r="V36" s="99"/>
      <c r="W36" s="99"/>
      <c r="X36" s="99"/>
    </row>
    <row r="37" spans="1:24">
      <c r="A37" s="486"/>
      <c r="B37" s="115">
        <f>78%-C37-D37-E37</f>
        <v>7.9000000000000015E-2</v>
      </c>
      <c r="C37" s="115">
        <f>70.1%-E37-D37</f>
        <v>0.26199999999999996</v>
      </c>
      <c r="D37" s="115">
        <f>43.9%-E37</f>
        <v>9.9999999999999978E-2</v>
      </c>
      <c r="E37" s="115">
        <v>0.33900000000000002</v>
      </c>
      <c r="F37" s="95"/>
      <c r="G37" s="95" t="s">
        <v>167</v>
      </c>
      <c r="H37" s="95"/>
      <c r="I37" s="95"/>
      <c r="J37" s="95"/>
      <c r="K37" s="95"/>
      <c r="L37" s="95"/>
      <c r="M37" s="95"/>
      <c r="N37" s="95"/>
      <c r="O37" s="95"/>
      <c r="P37" s="95"/>
      <c r="Q37" s="95"/>
      <c r="R37" s="95"/>
      <c r="S37" s="95"/>
      <c r="T37" s="95"/>
    </row>
    <row r="38" spans="1:24">
      <c r="A38" s="15" t="s">
        <v>144</v>
      </c>
      <c r="B38" s="113">
        <v>12</v>
      </c>
      <c r="C38" s="116">
        <v>52</v>
      </c>
      <c r="D38" s="116">
        <f>C38*3</f>
        <v>156</v>
      </c>
      <c r="E38" s="116">
        <f>C38*5</f>
        <v>260</v>
      </c>
      <c r="F38" s="99"/>
      <c r="G38" s="99"/>
      <c r="H38" s="99"/>
      <c r="I38" s="99"/>
      <c r="J38" s="99"/>
      <c r="K38" s="99"/>
      <c r="L38" s="99"/>
      <c r="M38" s="99"/>
      <c r="N38" s="99"/>
      <c r="O38" s="99"/>
      <c r="P38" s="99"/>
      <c r="Q38" s="99"/>
      <c r="R38" s="99"/>
      <c r="S38" s="99"/>
      <c r="T38" s="99"/>
      <c r="U38" s="99"/>
      <c r="V38" s="99"/>
      <c r="W38" s="99"/>
      <c r="X38" s="99"/>
    </row>
    <row r="39" spans="1:24">
      <c r="A39" s="487" t="s">
        <v>168</v>
      </c>
      <c r="B39" s="109">
        <f>$B$15*B37*B38</f>
        <v>244489.2</v>
      </c>
      <c r="C39" s="109">
        <f t="shared" ref="C39" si="1">$B$15*C37*C38</f>
        <v>3513629.5999999996</v>
      </c>
      <c r="D39" s="109">
        <f t="shared" ref="D39" si="2">$B$15*D37*D38</f>
        <v>4023239.9999999991</v>
      </c>
      <c r="E39" s="109">
        <f t="shared" ref="E39" si="3">$B$15*E37*E38</f>
        <v>22731306</v>
      </c>
    </row>
    <row r="40" spans="1:24">
      <c r="A40" s="487"/>
      <c r="B40" s="108">
        <f>SUM(B39:E39)</f>
        <v>30512664.799999997</v>
      </c>
    </row>
    <row r="41" spans="1:24">
      <c r="A41" s="110" t="s">
        <v>145</v>
      </c>
      <c r="B41" s="106">
        <f>B40/365</f>
        <v>83596.341917808211</v>
      </c>
      <c r="C41" s="95"/>
      <c r="D41" s="95" t="s">
        <v>162</v>
      </c>
      <c r="E41" s="95"/>
      <c r="F41" s="95"/>
      <c r="G41" s="95"/>
      <c r="H41" s="95"/>
      <c r="I41" s="95"/>
      <c r="J41" s="95"/>
      <c r="K41" s="95"/>
      <c r="L41" s="95"/>
      <c r="M41" s="95"/>
      <c r="N41" s="95"/>
      <c r="O41" s="95"/>
      <c r="P41" s="95"/>
      <c r="Q41" s="95"/>
      <c r="R41" s="95"/>
      <c r="S41" s="95"/>
      <c r="T41" s="95"/>
    </row>
    <row r="43" spans="1:24">
      <c r="A43" s="96" t="s">
        <v>146</v>
      </c>
    </row>
    <row r="44" spans="1:24">
      <c r="A44" s="15" t="s">
        <v>152</v>
      </c>
      <c r="B44" s="115">
        <v>0.03</v>
      </c>
      <c r="C44" s="95"/>
      <c r="D44" s="95" t="s">
        <v>149</v>
      </c>
      <c r="E44" s="95" t="s">
        <v>163</v>
      </c>
      <c r="F44" s="95"/>
      <c r="G44" s="95"/>
      <c r="H44" s="95"/>
      <c r="I44" s="95"/>
      <c r="J44" s="95"/>
      <c r="K44" s="95"/>
      <c r="L44" s="95"/>
      <c r="M44" s="95"/>
      <c r="N44" s="95"/>
      <c r="O44" s="95"/>
      <c r="P44" s="95"/>
      <c r="Q44" s="95"/>
      <c r="R44" s="95"/>
      <c r="S44" s="95"/>
      <c r="T44" s="95"/>
    </row>
    <row r="45" spans="1:24">
      <c r="A45" s="15" t="s">
        <v>154</v>
      </c>
      <c r="B45" s="106">
        <f>B41+(B41*B44)</f>
        <v>86104.232175342462</v>
      </c>
      <c r="C45" s="95"/>
      <c r="D45" s="95" t="s">
        <v>155</v>
      </c>
      <c r="E45" s="95"/>
      <c r="F45" s="95"/>
      <c r="G45" s="95"/>
      <c r="H45" s="95"/>
      <c r="I45" s="95"/>
      <c r="J45" s="95"/>
      <c r="K45" s="95"/>
      <c r="L45" s="95"/>
      <c r="M45" s="95"/>
      <c r="N45" s="95"/>
      <c r="O45" s="95"/>
      <c r="P45" s="95"/>
      <c r="Q45" s="95"/>
      <c r="R45" s="95"/>
      <c r="S45" s="95"/>
      <c r="T45" s="95"/>
    </row>
    <row r="46" spans="1:24">
      <c r="A46" s="15" t="s">
        <v>164</v>
      </c>
      <c r="B46" s="113">
        <f>B45-B41</f>
        <v>2507.8902575342508</v>
      </c>
      <c r="C46" s="95"/>
      <c r="D46" s="112"/>
      <c r="E46" s="95"/>
      <c r="F46" s="95"/>
      <c r="G46" s="95"/>
      <c r="H46" s="95"/>
      <c r="I46" s="95"/>
      <c r="J46" s="95"/>
      <c r="K46" s="95"/>
      <c r="L46" s="95"/>
      <c r="M46" s="95"/>
      <c r="N46" s="95"/>
      <c r="O46" s="95"/>
      <c r="P46" s="95"/>
      <c r="Q46" s="95"/>
      <c r="R46" s="95"/>
      <c r="S46" s="95"/>
      <c r="T46" s="95"/>
    </row>
    <row r="47" spans="1:24">
      <c r="A47" s="15" t="s">
        <v>153</v>
      </c>
      <c r="B47" s="105">
        <v>0.03</v>
      </c>
      <c r="C47" s="95"/>
      <c r="D47" s="95" t="s">
        <v>155</v>
      </c>
      <c r="E47" s="95"/>
      <c r="F47" s="95" t="s">
        <v>36</v>
      </c>
      <c r="G47" s="95" t="s">
        <v>151</v>
      </c>
      <c r="H47" s="95"/>
      <c r="I47" s="95"/>
      <c r="J47" s="95"/>
      <c r="K47" s="95"/>
      <c r="L47" s="95"/>
      <c r="M47" s="95"/>
      <c r="N47" s="95"/>
      <c r="O47" s="95"/>
      <c r="P47" s="95"/>
      <c r="Q47" s="95"/>
      <c r="R47" s="95"/>
      <c r="S47" s="95"/>
      <c r="T47" s="95"/>
    </row>
    <row r="49" spans="1:20">
      <c r="A49" s="98" t="s">
        <v>170</v>
      </c>
      <c r="B49" s="14"/>
    </row>
    <row r="50" spans="1:20" ht="6.6" customHeight="1"/>
    <row r="51" spans="1:20">
      <c r="A51" t="s">
        <v>172</v>
      </c>
      <c r="B51" t="s">
        <v>173</v>
      </c>
      <c r="C51" t="s">
        <v>174</v>
      </c>
    </row>
    <row r="52" spans="1:20">
      <c r="A52" s="121" t="s">
        <v>175</v>
      </c>
      <c r="B52" s="104" t="s">
        <v>182</v>
      </c>
      <c r="C52" s="104" t="s">
        <v>182</v>
      </c>
      <c r="D52" s="95" t="s">
        <v>155</v>
      </c>
      <c r="E52" s="95"/>
      <c r="F52" s="95" t="s">
        <v>36</v>
      </c>
      <c r="G52" s="95" t="s">
        <v>184</v>
      </c>
      <c r="H52" s="95"/>
      <c r="I52" s="95"/>
      <c r="J52" s="95"/>
      <c r="K52" s="95"/>
      <c r="L52" s="95"/>
      <c r="M52" s="95"/>
      <c r="N52" s="95"/>
      <c r="O52" s="95"/>
      <c r="P52" s="95"/>
      <c r="Q52" s="95"/>
      <c r="R52" s="95"/>
      <c r="S52" s="95"/>
      <c r="T52" s="95"/>
    </row>
    <row r="53" spans="1:20">
      <c r="A53" s="121" t="s">
        <v>176</v>
      </c>
      <c r="B53" s="104" t="s">
        <v>183</v>
      </c>
      <c r="C53" s="104" t="s">
        <v>182</v>
      </c>
      <c r="D53" s="95" t="s">
        <v>155</v>
      </c>
      <c r="E53" s="95"/>
      <c r="F53" s="95" t="s">
        <v>36</v>
      </c>
      <c r="G53" s="95" t="s">
        <v>185</v>
      </c>
      <c r="H53" s="95"/>
      <c r="I53" s="95"/>
      <c r="J53" s="95"/>
      <c r="K53" s="95"/>
      <c r="L53" s="95"/>
      <c r="M53" s="95"/>
      <c r="N53" s="95"/>
      <c r="O53" s="95"/>
      <c r="P53" s="95"/>
      <c r="Q53" s="95"/>
      <c r="R53" s="95"/>
      <c r="S53" s="95"/>
      <c r="T53" s="95"/>
    </row>
    <row r="54" spans="1:20">
      <c r="A54" s="121" t="s">
        <v>177</v>
      </c>
      <c r="B54" s="104" t="s">
        <v>183</v>
      </c>
      <c r="C54" s="104" t="s">
        <v>183</v>
      </c>
      <c r="D54" s="95" t="s">
        <v>155</v>
      </c>
      <c r="E54" s="95"/>
      <c r="F54" s="95" t="s">
        <v>36</v>
      </c>
      <c r="G54" s="95" t="s">
        <v>186</v>
      </c>
      <c r="H54" s="95"/>
      <c r="I54" s="95"/>
      <c r="J54" s="95"/>
      <c r="K54" s="95"/>
      <c r="L54" s="95"/>
      <c r="M54" s="95"/>
      <c r="N54" s="95"/>
      <c r="O54" s="95"/>
      <c r="P54" s="95"/>
      <c r="Q54" s="95"/>
      <c r="R54" s="95"/>
      <c r="S54" s="95"/>
      <c r="T54" s="95"/>
    </row>
    <row r="55" spans="1:20">
      <c r="A55" s="121" t="s">
        <v>178</v>
      </c>
      <c r="B55" s="104" t="s">
        <v>183</v>
      </c>
      <c r="C55" s="104" t="s">
        <v>182</v>
      </c>
      <c r="D55" s="95" t="s">
        <v>155</v>
      </c>
      <c r="E55" s="95"/>
      <c r="F55" s="95" t="s">
        <v>36</v>
      </c>
      <c r="G55" s="95" t="s">
        <v>188</v>
      </c>
      <c r="H55" s="95"/>
      <c r="I55" s="95"/>
      <c r="J55" s="95"/>
      <c r="K55" s="95"/>
      <c r="L55" s="95"/>
      <c r="M55" s="95"/>
      <c r="N55" s="95"/>
      <c r="O55" s="95"/>
      <c r="P55" s="95"/>
      <c r="Q55" s="95"/>
      <c r="R55" s="95"/>
      <c r="S55" s="95"/>
      <c r="T55" s="95"/>
    </row>
    <row r="56" spans="1:20">
      <c r="A56" s="121" t="s">
        <v>179</v>
      </c>
      <c r="B56" s="104" t="s">
        <v>183</v>
      </c>
      <c r="C56" s="104" t="s">
        <v>183</v>
      </c>
      <c r="D56" s="95" t="s">
        <v>155</v>
      </c>
      <c r="E56" s="95"/>
      <c r="F56" s="95" t="s">
        <v>36</v>
      </c>
      <c r="G56" s="95" t="s">
        <v>189</v>
      </c>
      <c r="H56" s="95"/>
      <c r="I56" s="95"/>
      <c r="J56" s="95"/>
      <c r="K56" s="95"/>
      <c r="L56" s="95"/>
      <c r="M56" s="95"/>
      <c r="N56" s="95"/>
      <c r="O56" s="95"/>
      <c r="P56" s="95"/>
      <c r="Q56" s="95"/>
      <c r="R56" s="95"/>
      <c r="S56" s="95"/>
      <c r="T56" s="95"/>
    </row>
    <row r="57" spans="1:20">
      <c r="A57" s="121" t="s">
        <v>180</v>
      </c>
      <c r="B57" s="104" t="s">
        <v>183</v>
      </c>
      <c r="C57" s="104" t="s">
        <v>182</v>
      </c>
      <c r="D57" s="95" t="s">
        <v>155</v>
      </c>
      <c r="E57" s="95"/>
      <c r="F57" s="95" t="s">
        <v>36</v>
      </c>
      <c r="G57" s="95" t="s">
        <v>190</v>
      </c>
      <c r="H57" s="95"/>
      <c r="I57" s="95"/>
      <c r="J57" s="95"/>
      <c r="K57" s="95"/>
      <c r="L57" s="95"/>
      <c r="M57" s="95"/>
      <c r="N57" s="95"/>
      <c r="O57" s="95"/>
      <c r="P57" s="95"/>
      <c r="Q57" s="95"/>
      <c r="R57" s="95"/>
      <c r="S57" s="95"/>
      <c r="T57" s="95"/>
    </row>
    <row r="58" spans="1:20">
      <c r="A58" s="121" t="s">
        <v>181</v>
      </c>
      <c r="B58" s="104" t="s">
        <v>183</v>
      </c>
      <c r="C58" s="104" t="s">
        <v>182</v>
      </c>
      <c r="D58" s="95" t="s">
        <v>155</v>
      </c>
      <c r="E58" s="95"/>
      <c r="F58" s="95" t="s">
        <v>36</v>
      </c>
      <c r="G58" s="95" t="s">
        <v>191</v>
      </c>
      <c r="H58" s="95"/>
      <c r="I58" s="95"/>
      <c r="J58" s="95"/>
      <c r="K58" s="95"/>
      <c r="L58" s="95"/>
      <c r="M58" s="95"/>
      <c r="N58" s="95"/>
      <c r="O58" s="95"/>
      <c r="P58" s="95"/>
      <c r="Q58" s="95"/>
      <c r="R58" s="95"/>
      <c r="S58" s="95"/>
      <c r="T58" s="95"/>
    </row>
    <row r="59" spans="1:20" s="99" customFormat="1">
      <c r="A59" s="142"/>
    </row>
    <row r="60" spans="1:20">
      <c r="A60" s="98" t="s">
        <v>348</v>
      </c>
      <c r="B60" s="14"/>
    </row>
    <row r="61" spans="1:20" s="99" customFormat="1">
      <c r="A61" s="121" t="s">
        <v>308</v>
      </c>
      <c r="B61" s="113">
        <f>B26</f>
        <v>344.83703013698687</v>
      </c>
    </row>
    <row r="62" spans="1:20" s="99" customFormat="1">
      <c r="A62" s="121" t="s">
        <v>349</v>
      </c>
      <c r="B62" s="113">
        <f>B61+(B61*90%)</f>
        <v>655.19035726027505</v>
      </c>
      <c r="D62" s="95" t="s">
        <v>350</v>
      </c>
      <c r="E62" s="95"/>
      <c r="F62" s="95"/>
      <c r="G62" s="95"/>
      <c r="H62" s="95"/>
      <c r="I62" s="95"/>
      <c r="J62" s="95"/>
      <c r="K62" s="95"/>
      <c r="L62" s="95"/>
      <c r="M62" s="95"/>
      <c r="N62" s="95"/>
      <c r="O62" s="95"/>
      <c r="P62" s="95"/>
      <c r="Q62" s="95"/>
      <c r="R62" s="95"/>
      <c r="S62" s="95"/>
      <c r="T62" s="95"/>
    </row>
    <row r="63" spans="1:20" s="99" customFormat="1">
      <c r="A63" s="121" t="s">
        <v>309</v>
      </c>
      <c r="B63" s="138">
        <v>0.11</v>
      </c>
      <c r="D63" s="95" t="s">
        <v>149</v>
      </c>
      <c r="E63" s="95" t="s">
        <v>310</v>
      </c>
      <c r="F63" s="95"/>
      <c r="G63" s="95"/>
      <c r="H63" s="95"/>
      <c r="I63" s="95"/>
      <c r="J63" s="95"/>
      <c r="K63" s="95"/>
      <c r="L63" s="95"/>
      <c r="M63" s="95"/>
      <c r="N63" s="95"/>
      <c r="O63" s="95"/>
      <c r="P63" s="95"/>
      <c r="Q63" s="95"/>
      <c r="R63" s="95"/>
      <c r="S63" s="95"/>
      <c r="T63" s="95"/>
    </row>
    <row r="64" spans="1:20" s="99" customFormat="1">
      <c r="A64" s="121" t="s">
        <v>311</v>
      </c>
      <c r="B64" s="116">
        <v>5.4</v>
      </c>
      <c r="D64" s="95" t="s">
        <v>36</v>
      </c>
      <c r="E64" s="95" t="s">
        <v>312</v>
      </c>
      <c r="F64" s="95"/>
      <c r="G64" s="95"/>
      <c r="H64" s="95"/>
      <c r="I64" s="95"/>
      <c r="J64" s="95"/>
      <c r="K64" s="95"/>
      <c r="L64" s="95"/>
      <c r="M64" s="95"/>
      <c r="N64" s="95"/>
      <c r="O64" s="95"/>
      <c r="P64" s="95"/>
      <c r="Q64" s="95"/>
      <c r="R64" s="95"/>
      <c r="S64" s="95"/>
      <c r="T64" s="95"/>
    </row>
    <row r="65" spans="1:20" s="99" customFormat="1">
      <c r="A65" s="121" t="s">
        <v>352</v>
      </c>
      <c r="B65" s="113">
        <f>0-B62*B63</f>
        <v>-72.07093929863025</v>
      </c>
      <c r="D65" s="95" t="s">
        <v>347</v>
      </c>
      <c r="E65" s="95"/>
      <c r="F65" s="95"/>
      <c r="G65" s="95"/>
      <c r="H65" s="95"/>
      <c r="I65" s="95"/>
      <c r="J65" s="95"/>
      <c r="K65" s="95"/>
      <c r="L65" s="95"/>
      <c r="M65" s="95"/>
      <c r="N65" s="95"/>
      <c r="O65" s="95"/>
      <c r="P65" s="95"/>
      <c r="Q65" s="95"/>
      <c r="R65" s="95"/>
      <c r="S65" s="95"/>
      <c r="T65" s="95"/>
    </row>
    <row r="66" spans="1:20" s="99" customFormat="1">
      <c r="A66" s="121" t="s">
        <v>351</v>
      </c>
      <c r="B66" s="113">
        <f>B65*B64</f>
        <v>-389.18307221260341</v>
      </c>
      <c r="D66" s="95" t="s">
        <v>347</v>
      </c>
      <c r="E66" s="95"/>
      <c r="F66" s="95"/>
      <c r="G66" s="95"/>
      <c r="H66" s="95"/>
      <c r="I66" s="95"/>
      <c r="J66" s="95"/>
      <c r="K66" s="95"/>
      <c r="L66" s="95"/>
      <c r="M66" s="95"/>
      <c r="N66" s="95"/>
      <c r="O66" s="95"/>
      <c r="P66" s="95"/>
      <c r="Q66" s="95"/>
      <c r="R66" s="95"/>
      <c r="S66" s="95"/>
      <c r="T66" s="95"/>
    </row>
    <row r="67" spans="1:20" s="99" customFormat="1">
      <c r="A67" s="121" t="s">
        <v>355</v>
      </c>
      <c r="B67" s="113">
        <f>B46</f>
        <v>2507.8902575342508</v>
      </c>
    </row>
    <row r="68" spans="1:20" s="99" customFormat="1">
      <c r="A68" s="121" t="s">
        <v>349</v>
      </c>
      <c r="B68" s="113">
        <f>B67+(B67*90%)</f>
        <v>4764.9914893150763</v>
      </c>
      <c r="D68" s="95" t="s">
        <v>350</v>
      </c>
      <c r="E68" s="95"/>
      <c r="F68" s="95"/>
      <c r="G68" s="95"/>
      <c r="H68" s="95"/>
      <c r="I68" s="95"/>
      <c r="J68" s="95"/>
      <c r="K68" s="95"/>
      <c r="L68" s="95"/>
      <c r="M68" s="95"/>
      <c r="N68" s="95"/>
      <c r="O68" s="95"/>
      <c r="P68" s="95"/>
      <c r="Q68" s="95"/>
      <c r="R68" s="95"/>
      <c r="S68" s="95"/>
      <c r="T68" s="95"/>
    </row>
    <row r="69" spans="1:20" s="99" customFormat="1">
      <c r="A69" s="121" t="s">
        <v>309</v>
      </c>
      <c r="B69" s="138">
        <v>0.11</v>
      </c>
      <c r="D69" s="95" t="s">
        <v>149</v>
      </c>
      <c r="E69" s="95" t="s">
        <v>310</v>
      </c>
      <c r="F69" s="95"/>
      <c r="G69" s="95"/>
      <c r="H69" s="95"/>
      <c r="I69" s="95"/>
      <c r="J69" s="95"/>
      <c r="K69" s="95"/>
      <c r="L69" s="95"/>
      <c r="M69" s="95"/>
      <c r="N69" s="95"/>
      <c r="O69" s="95"/>
      <c r="P69" s="95"/>
      <c r="Q69" s="95"/>
      <c r="R69" s="95"/>
      <c r="S69" s="95"/>
      <c r="T69" s="95"/>
    </row>
    <row r="70" spans="1:20" s="99" customFormat="1">
      <c r="A70" s="121" t="s">
        <v>311</v>
      </c>
      <c r="B70" s="116">
        <v>5.4</v>
      </c>
      <c r="D70" s="95" t="s">
        <v>36</v>
      </c>
      <c r="E70" s="95" t="s">
        <v>312</v>
      </c>
      <c r="F70" s="95"/>
      <c r="G70" s="95"/>
      <c r="H70" s="95"/>
      <c r="I70" s="95"/>
      <c r="J70" s="95"/>
      <c r="K70" s="95"/>
      <c r="L70" s="95"/>
      <c r="M70" s="95"/>
      <c r="N70" s="95"/>
      <c r="O70" s="95"/>
      <c r="P70" s="95"/>
      <c r="Q70" s="95"/>
      <c r="R70" s="95"/>
      <c r="S70" s="95"/>
      <c r="T70" s="95"/>
    </row>
    <row r="71" spans="1:20" s="99" customFormat="1">
      <c r="A71" s="121" t="s">
        <v>352</v>
      </c>
      <c r="B71" s="113">
        <f>0-B68*B69</f>
        <v>-524.14906382465836</v>
      </c>
    </row>
    <row r="72" spans="1:20" s="99" customFormat="1">
      <c r="A72" s="121" t="s">
        <v>351</v>
      </c>
      <c r="B72" s="113">
        <f>B71*B70</f>
        <v>-2830.4049446531553</v>
      </c>
    </row>
    <row r="73" spans="1:20" s="99" customFormat="1" ht="9.6" customHeight="1">
      <c r="A73" s="121"/>
      <c r="B73" s="245"/>
    </row>
    <row r="74" spans="1:20" s="99" customFormat="1">
      <c r="A74" s="121" t="s">
        <v>356</v>
      </c>
      <c r="B74" s="113">
        <f>B71+B65</f>
        <v>-596.22000312328862</v>
      </c>
      <c r="D74" s="95" t="s">
        <v>347</v>
      </c>
      <c r="E74" s="95"/>
      <c r="F74" s="95"/>
      <c r="G74" s="95"/>
      <c r="H74" s="95"/>
      <c r="I74" s="95"/>
      <c r="J74" s="95"/>
      <c r="K74" s="95"/>
      <c r="L74" s="95"/>
      <c r="M74" s="95"/>
      <c r="N74" s="95"/>
      <c r="O74" s="95"/>
      <c r="P74" s="95"/>
      <c r="Q74" s="95"/>
      <c r="R74" s="95"/>
      <c r="S74" s="95"/>
      <c r="T74" s="95"/>
    </row>
    <row r="75" spans="1:20" s="99" customFormat="1">
      <c r="A75" s="121" t="s">
        <v>353</v>
      </c>
      <c r="B75" s="113">
        <f>B66+B72</f>
        <v>-3219.5880168657586</v>
      </c>
      <c r="D75" s="95" t="s">
        <v>347</v>
      </c>
      <c r="E75" s="95"/>
      <c r="F75" s="95"/>
      <c r="G75" s="95"/>
      <c r="H75" s="95"/>
      <c r="I75" s="95"/>
      <c r="J75" s="95"/>
      <c r="K75" s="95"/>
      <c r="L75" s="95"/>
      <c r="M75" s="95"/>
      <c r="N75" s="95"/>
      <c r="O75" s="95"/>
      <c r="P75" s="95"/>
      <c r="Q75" s="95"/>
      <c r="R75" s="95"/>
      <c r="S75" s="95"/>
      <c r="T75" s="95"/>
    </row>
    <row r="76" spans="1:20" s="99" customFormat="1">
      <c r="A76" s="142"/>
    </row>
    <row r="78" spans="1:20">
      <c r="A78" s="122" t="s">
        <v>213</v>
      </c>
      <c r="B78" s="123"/>
      <c r="C78" s="123"/>
      <c r="D78" s="123"/>
      <c r="E78" s="123"/>
      <c r="F78" s="123"/>
      <c r="G78" s="123"/>
      <c r="H78" s="123"/>
      <c r="I78" s="123"/>
      <c r="J78" s="124"/>
      <c r="M78" t="s">
        <v>522</v>
      </c>
    </row>
    <row r="79" spans="1:20">
      <c r="A79" s="125" t="s">
        <v>209</v>
      </c>
      <c r="B79" s="126" t="s">
        <v>210</v>
      </c>
      <c r="C79" s="127"/>
      <c r="D79" s="127" t="s">
        <v>208</v>
      </c>
      <c r="E79" s="135" t="s">
        <v>211</v>
      </c>
      <c r="F79" s="135" t="s">
        <v>212</v>
      </c>
      <c r="G79" s="127"/>
      <c r="H79" s="127"/>
      <c r="I79" s="127"/>
      <c r="J79" s="128"/>
    </row>
    <row r="80" spans="1:20">
      <c r="A80" s="125" t="s">
        <v>207</v>
      </c>
      <c r="B80" s="129">
        <v>419.90015211357223</v>
      </c>
      <c r="C80" s="127"/>
      <c r="D80" s="127" t="s">
        <v>206</v>
      </c>
      <c r="E80" s="134">
        <v>487.52997073412649</v>
      </c>
      <c r="F80" s="136">
        <v>2.9739896318282132E-2</v>
      </c>
      <c r="G80" s="127"/>
      <c r="H80" s="127"/>
      <c r="I80" s="127"/>
      <c r="J80" s="128"/>
    </row>
    <row r="81" spans="1:16">
      <c r="A81" s="125" t="s">
        <v>205</v>
      </c>
      <c r="B81" s="129">
        <v>2.3696086090167352</v>
      </c>
      <c r="C81" s="127"/>
      <c r="D81" s="127" t="s">
        <v>204</v>
      </c>
      <c r="E81" s="134">
        <v>14437.265945884115</v>
      </c>
      <c r="F81" s="136">
        <v>0.88069004599557454</v>
      </c>
      <c r="G81" s="127"/>
      <c r="H81" s="127"/>
      <c r="I81" s="127"/>
      <c r="J81" s="128"/>
    </row>
    <row r="82" spans="1:16">
      <c r="A82" s="125" t="s">
        <v>59</v>
      </c>
      <c r="B82" s="129">
        <v>71.088258270502052</v>
      </c>
      <c r="C82" s="127"/>
      <c r="D82" s="127" t="s">
        <v>203</v>
      </c>
      <c r="E82" s="134">
        <v>1468.3335521763468</v>
      </c>
      <c r="F82" s="136">
        <v>8.957005768614329E-2</v>
      </c>
      <c r="G82" s="127"/>
      <c r="H82" s="127"/>
      <c r="I82" s="127"/>
      <c r="J82" s="128"/>
    </row>
    <row r="83" spans="1:16">
      <c r="A83" s="125" t="s">
        <v>202</v>
      </c>
      <c r="B83" s="129">
        <v>8.8235410045427063</v>
      </c>
      <c r="C83" s="127"/>
      <c r="D83" s="127"/>
      <c r="E83" s="127"/>
      <c r="F83" s="127"/>
      <c r="G83" s="127"/>
      <c r="H83" s="127"/>
      <c r="I83" s="127"/>
      <c r="J83" s="128"/>
    </row>
    <row r="84" spans="1:16">
      <c r="A84" s="125" t="s">
        <v>61</v>
      </c>
      <c r="B84" s="129">
        <v>4.7392172180334704</v>
      </c>
      <c r="C84" s="127"/>
      <c r="D84" s="127"/>
      <c r="E84" s="127"/>
      <c r="F84" s="127"/>
      <c r="G84" s="127"/>
      <c r="H84" s="127"/>
      <c r="I84" s="127"/>
      <c r="J84" s="128"/>
    </row>
    <row r="85" spans="1:16">
      <c r="A85" s="125" t="s">
        <v>201</v>
      </c>
      <c r="B85" s="129">
        <v>16.428729069418548</v>
      </c>
      <c r="C85" s="127"/>
      <c r="D85" s="127"/>
      <c r="E85" s="127"/>
      <c r="F85" s="127"/>
      <c r="G85" s="127"/>
      <c r="H85" s="127"/>
      <c r="I85" s="127"/>
      <c r="J85" s="128"/>
      <c r="O85" s="18">
        <f>B85*1000</f>
        <v>16428.729069418547</v>
      </c>
      <c r="P85" t="s">
        <v>440</v>
      </c>
    </row>
    <row r="86" spans="1:16">
      <c r="A86" s="125" t="s">
        <v>200</v>
      </c>
      <c r="B86" s="129">
        <v>12191.582496053574</v>
      </c>
      <c r="C86" s="127"/>
      <c r="D86" s="127"/>
      <c r="E86" s="127"/>
      <c r="F86" s="127"/>
      <c r="G86" s="127"/>
      <c r="H86" s="127"/>
      <c r="I86" s="127"/>
      <c r="J86" s="128"/>
      <c r="O86" s="10">
        <f>O85/'Assumptions + TAG factors'!E124</f>
        <v>315.27725670388884</v>
      </c>
      <c r="P86" t="s">
        <v>441</v>
      </c>
    </row>
    <row r="87" spans="1:16">
      <c r="A87" s="125" t="s">
        <v>199</v>
      </c>
      <c r="B87" s="129">
        <v>2245.683449830542</v>
      </c>
      <c r="C87" s="127"/>
      <c r="D87" s="127"/>
      <c r="E87" s="127"/>
      <c r="F87" s="127"/>
      <c r="G87" s="127"/>
      <c r="H87" s="127"/>
      <c r="I87" s="127"/>
      <c r="J87" s="128"/>
    </row>
    <row r="88" spans="1:16">
      <c r="A88" s="125" t="s">
        <v>198</v>
      </c>
      <c r="B88" s="129">
        <v>1468.3335521763468</v>
      </c>
      <c r="C88" s="127"/>
      <c r="D88" s="127"/>
      <c r="E88" s="127"/>
      <c r="F88" s="127"/>
      <c r="G88" s="127"/>
      <c r="H88" s="127"/>
      <c r="I88" s="127"/>
      <c r="J88" s="128"/>
    </row>
    <row r="89" spans="1:16">
      <c r="A89" s="125"/>
      <c r="B89" s="129"/>
      <c r="C89" s="127"/>
      <c r="D89" s="127"/>
      <c r="E89" s="127"/>
      <c r="F89" s="127"/>
      <c r="G89" s="127"/>
      <c r="H89" s="127"/>
      <c r="I89" s="127"/>
      <c r="J89" s="128"/>
    </row>
    <row r="90" spans="1:16">
      <c r="A90" s="125" t="s">
        <v>197</v>
      </c>
      <c r="B90" s="129">
        <v>-35.81953555095928</v>
      </c>
      <c r="C90" s="127"/>
      <c r="D90" s="127"/>
      <c r="E90" s="127"/>
      <c r="F90" s="127"/>
      <c r="G90" s="127"/>
      <c r="H90" s="127"/>
      <c r="I90" s="127"/>
      <c r="J90" s="128"/>
    </row>
    <row r="91" spans="1:16">
      <c r="A91" s="125" t="s">
        <v>196</v>
      </c>
      <c r="B91" s="129">
        <v>7670.6857974185568</v>
      </c>
      <c r="C91" s="127"/>
      <c r="D91" s="127"/>
      <c r="E91" s="127"/>
      <c r="F91" s="127"/>
      <c r="G91" s="127"/>
      <c r="H91" s="127"/>
      <c r="I91" s="127"/>
      <c r="J91" s="128"/>
    </row>
    <row r="92" spans="1:16">
      <c r="A92" s="125" t="s">
        <v>195</v>
      </c>
      <c r="B92" s="129">
        <v>0</v>
      </c>
      <c r="C92" s="127"/>
      <c r="D92" s="127"/>
      <c r="E92" s="127"/>
      <c r="F92" s="127"/>
      <c r="G92" s="127"/>
      <c r="H92" s="127"/>
      <c r="I92" s="127"/>
      <c r="J92" s="128"/>
    </row>
    <row r="93" spans="1:16">
      <c r="A93" s="125"/>
      <c r="B93" s="129"/>
      <c r="C93" s="127"/>
      <c r="D93" s="127"/>
      <c r="E93" s="127"/>
      <c r="F93" s="127"/>
      <c r="G93" s="127"/>
      <c r="H93" s="127"/>
      <c r="I93" s="127"/>
      <c r="J93" s="128"/>
    </row>
    <row r="94" spans="1:16">
      <c r="A94" s="125" t="s">
        <v>194</v>
      </c>
      <c r="B94" s="129">
        <v>16390.759860185572</v>
      </c>
      <c r="C94" s="127"/>
      <c r="D94" s="127"/>
      <c r="E94" s="127"/>
      <c r="F94" s="127"/>
      <c r="G94" s="127"/>
      <c r="H94" s="127"/>
      <c r="I94" s="127"/>
      <c r="J94" s="128"/>
    </row>
    <row r="95" spans="1:16">
      <c r="A95" s="125" t="s">
        <v>193</v>
      </c>
      <c r="B95" s="129">
        <v>7668.3161888095401</v>
      </c>
      <c r="C95" s="127"/>
      <c r="D95" s="127"/>
      <c r="E95" s="127"/>
      <c r="F95" s="127"/>
      <c r="G95" s="127"/>
      <c r="H95" s="127"/>
      <c r="I95" s="127"/>
      <c r="J95" s="128"/>
    </row>
    <row r="96" spans="1:16">
      <c r="A96" s="125"/>
      <c r="B96" s="129"/>
      <c r="C96" s="127"/>
      <c r="D96" s="127"/>
      <c r="E96" s="127"/>
      <c r="F96" s="127"/>
      <c r="G96" s="127"/>
      <c r="H96" s="127"/>
      <c r="I96" s="127"/>
      <c r="J96" s="128"/>
    </row>
    <row r="97" spans="1:16">
      <c r="A97" s="125" t="s">
        <v>192</v>
      </c>
      <c r="B97" s="130">
        <v>2.1374653126725254</v>
      </c>
      <c r="C97" s="127"/>
      <c r="D97" s="127"/>
      <c r="E97" s="127"/>
      <c r="F97" s="127"/>
      <c r="G97" s="127"/>
      <c r="H97" s="127"/>
      <c r="I97" s="127"/>
      <c r="J97" s="128"/>
    </row>
    <row r="98" spans="1:16">
      <c r="A98" s="125"/>
      <c r="B98" s="127"/>
      <c r="C98" s="127"/>
      <c r="D98" s="127"/>
      <c r="E98" s="127"/>
      <c r="F98" s="127"/>
      <c r="G98" s="127"/>
      <c r="H98" s="127"/>
      <c r="I98" s="127"/>
      <c r="J98" s="128"/>
    </row>
    <row r="99" spans="1:16">
      <c r="A99" s="131"/>
      <c r="B99" s="132"/>
      <c r="C99" s="132"/>
      <c r="D99" s="132"/>
      <c r="E99" s="132"/>
      <c r="F99" s="132"/>
      <c r="G99" s="132"/>
      <c r="H99" s="132"/>
      <c r="I99" s="132"/>
      <c r="J99" s="133"/>
    </row>
    <row r="101" spans="1:16">
      <c r="A101" s="122" t="s">
        <v>532</v>
      </c>
      <c r="B101" s="123"/>
      <c r="C101" s="123"/>
      <c r="D101" s="123"/>
      <c r="E101" s="123"/>
      <c r="F101" s="123"/>
      <c r="G101" s="123"/>
      <c r="H101" s="123"/>
      <c r="I101" s="123"/>
      <c r="J101" s="124"/>
      <c r="M101" t="s">
        <v>521</v>
      </c>
    </row>
    <row r="102" spans="1:16">
      <c r="A102" s="125" t="s">
        <v>209</v>
      </c>
      <c r="B102" s="126" t="s">
        <v>210</v>
      </c>
      <c r="C102" s="127"/>
      <c r="D102" s="127" t="s">
        <v>208</v>
      </c>
      <c r="E102" s="135" t="s">
        <v>211</v>
      </c>
      <c r="F102" s="135" t="s">
        <v>212</v>
      </c>
      <c r="G102" s="127"/>
      <c r="H102" s="127"/>
      <c r="I102" s="127"/>
      <c r="J102" s="128"/>
    </row>
    <row r="103" spans="1:16">
      <c r="A103" s="125" t="s">
        <v>207</v>
      </c>
      <c r="B103" s="129">
        <v>560.03059452457842</v>
      </c>
      <c r="C103" s="127"/>
      <c r="D103" s="127" t="s">
        <v>206</v>
      </c>
      <c r="E103" s="134">
        <v>650.23005584655073</v>
      </c>
      <c r="F103" s="136">
        <v>2.9730324029511278E-2</v>
      </c>
      <c r="G103" s="127"/>
      <c r="H103" s="127"/>
      <c r="I103" s="127"/>
      <c r="J103" s="128"/>
    </row>
    <row r="104" spans="1:16">
      <c r="A104" s="125" t="s">
        <v>205</v>
      </c>
      <c r="B104" s="129">
        <v>3.1604020894454621</v>
      </c>
      <c r="C104" s="127"/>
      <c r="D104" s="127" t="s">
        <v>204</v>
      </c>
      <c r="E104" s="134">
        <v>19253.282283705234</v>
      </c>
      <c r="F104" s="136">
        <v>0.88031353792308997</v>
      </c>
      <c r="G104" s="127"/>
      <c r="H104" s="127"/>
      <c r="I104" s="127"/>
      <c r="J104" s="128"/>
    </row>
    <row r="105" spans="1:16">
      <c r="A105" s="125" t="s">
        <v>59</v>
      </c>
      <c r="B105" s="129">
        <v>94.812062683363877</v>
      </c>
      <c r="C105" s="127"/>
      <c r="D105" s="127" t="s">
        <v>203</v>
      </c>
      <c r="E105" s="134">
        <v>1967.4250643295666</v>
      </c>
      <c r="F105" s="136">
        <v>8.9956138047398701E-2</v>
      </c>
      <c r="G105" s="127"/>
      <c r="H105" s="127"/>
      <c r="I105" s="127"/>
      <c r="J105" s="128"/>
    </row>
    <row r="106" spans="1:16">
      <c r="A106" s="125" t="s">
        <v>202</v>
      </c>
      <c r="B106" s="129">
        <v>11.768161763488742</v>
      </c>
      <c r="C106" s="127"/>
      <c r="D106" s="127"/>
      <c r="E106" s="127"/>
      <c r="F106" s="127"/>
      <c r="G106" s="127"/>
      <c r="H106" s="127"/>
      <c r="I106" s="127"/>
      <c r="J106" s="128"/>
    </row>
    <row r="107" spans="1:16">
      <c r="A107" s="125" t="s">
        <v>61</v>
      </c>
      <c r="B107" s="129">
        <v>6.3208041788909242</v>
      </c>
      <c r="C107" s="127"/>
      <c r="D107" s="127"/>
      <c r="E107" s="127"/>
      <c r="F107" s="127"/>
      <c r="G107" s="127"/>
      <c r="H107" s="127"/>
      <c r="I107" s="127"/>
      <c r="J107" s="128"/>
    </row>
    <row r="108" spans="1:16">
      <c r="A108" s="125" t="s">
        <v>201</v>
      </c>
      <c r="B108" s="129">
        <v>21.911377887620219</v>
      </c>
      <c r="C108" s="127"/>
      <c r="D108" s="127"/>
      <c r="E108" s="127"/>
      <c r="F108" s="127"/>
      <c r="G108" s="127"/>
      <c r="H108" s="127"/>
      <c r="I108" s="127"/>
      <c r="J108" s="128"/>
      <c r="O108" s="18">
        <f>B108*1000</f>
        <v>21911.37788762022</v>
      </c>
      <c r="P108" t="s">
        <v>440</v>
      </c>
    </row>
    <row r="109" spans="1:16">
      <c r="A109" s="125" t="s">
        <v>200</v>
      </c>
      <c r="B109" s="129">
        <v>16258.638805876146</v>
      </c>
      <c r="C109" s="127"/>
      <c r="D109" s="127"/>
      <c r="E109" s="127"/>
      <c r="F109" s="127"/>
      <c r="G109" s="127"/>
      <c r="H109" s="127"/>
      <c r="I109" s="127"/>
      <c r="J109" s="128"/>
      <c r="O109" s="10">
        <f>O108/'Assumptions + TAG factors'!E124</f>
        <v>420.49260669046083</v>
      </c>
      <c r="P109" t="s">
        <v>441</v>
      </c>
    </row>
    <row r="110" spans="1:16">
      <c r="A110" s="125" t="s">
        <v>199</v>
      </c>
      <c r="B110" s="129">
        <v>2994.6434778290877</v>
      </c>
      <c r="C110" s="127"/>
      <c r="D110" s="127"/>
      <c r="E110" s="127"/>
      <c r="F110" s="127"/>
      <c r="G110" s="127"/>
      <c r="H110" s="127"/>
      <c r="I110" s="127"/>
      <c r="J110" s="128"/>
    </row>
    <row r="111" spans="1:16">
      <c r="A111" s="125" t="s">
        <v>198</v>
      </c>
      <c r="B111" s="129">
        <v>1967.4250643295666</v>
      </c>
      <c r="C111" s="127"/>
      <c r="D111" s="127"/>
      <c r="E111" s="127"/>
      <c r="F111" s="127"/>
      <c r="G111" s="127"/>
      <c r="H111" s="127"/>
      <c r="I111" s="127"/>
      <c r="J111" s="128"/>
    </row>
    <row r="112" spans="1:16">
      <c r="A112" s="125"/>
      <c r="B112" s="129"/>
      <c r="C112" s="127"/>
      <c r="D112" s="127"/>
      <c r="E112" s="127"/>
      <c r="F112" s="127"/>
      <c r="G112" s="127"/>
      <c r="H112" s="127"/>
      <c r="I112" s="127"/>
      <c r="J112" s="128"/>
    </row>
    <row r="113" spans="1:13">
      <c r="A113" s="125" t="s">
        <v>197</v>
      </c>
      <c r="B113" s="129">
        <v>-47.773347280837058</v>
      </c>
      <c r="C113" s="127"/>
      <c r="D113" s="127"/>
      <c r="E113" s="127"/>
      <c r="F113" s="127"/>
      <c r="G113" s="127"/>
      <c r="H113" s="127"/>
      <c r="I113" s="127"/>
      <c r="J113" s="128"/>
    </row>
    <row r="114" spans="1:13">
      <c r="A114" s="125" t="s">
        <v>196</v>
      </c>
      <c r="B114" s="129">
        <v>7670.6857974185568</v>
      </c>
      <c r="C114" s="127"/>
      <c r="D114" s="127"/>
      <c r="E114" s="127"/>
      <c r="F114" s="127"/>
      <c r="G114" s="127"/>
      <c r="H114" s="127"/>
      <c r="I114" s="127"/>
      <c r="J114" s="128"/>
    </row>
    <row r="115" spans="1:13">
      <c r="A115" s="125" t="s">
        <v>195</v>
      </c>
      <c r="B115" s="129">
        <v>0</v>
      </c>
      <c r="C115" s="127"/>
      <c r="D115" s="127"/>
      <c r="E115" s="127"/>
      <c r="F115" s="127"/>
      <c r="G115" s="127"/>
      <c r="H115" s="127"/>
      <c r="I115" s="127"/>
      <c r="J115" s="128"/>
    </row>
    <row r="116" spans="1:13">
      <c r="A116" s="125"/>
      <c r="B116" s="129"/>
      <c r="C116" s="127"/>
      <c r="D116" s="127"/>
      <c r="E116" s="127"/>
      <c r="F116" s="127"/>
      <c r="G116" s="127"/>
      <c r="H116" s="127"/>
      <c r="I116" s="127"/>
      <c r="J116" s="128"/>
    </row>
    <row r="117" spans="1:13">
      <c r="A117" s="125" t="s">
        <v>194</v>
      </c>
      <c r="B117" s="129">
        <v>21867.777001791907</v>
      </c>
      <c r="C117" s="127"/>
      <c r="D117" s="127"/>
      <c r="E117" s="127"/>
      <c r="F117" s="127"/>
      <c r="G117" s="127"/>
      <c r="H117" s="127"/>
      <c r="I117" s="127"/>
      <c r="J117" s="128"/>
    </row>
    <row r="118" spans="1:13">
      <c r="A118" s="125" t="s">
        <v>193</v>
      </c>
      <c r="B118" s="129">
        <v>7667.5253953291112</v>
      </c>
      <c r="C118" s="127"/>
      <c r="D118" s="127"/>
      <c r="E118" s="127"/>
      <c r="F118" s="127"/>
      <c r="G118" s="127"/>
      <c r="H118" s="127"/>
      <c r="I118" s="127"/>
      <c r="J118" s="128"/>
    </row>
    <row r="119" spans="1:13">
      <c r="A119" s="125"/>
      <c r="B119" s="129"/>
      <c r="C119" s="127"/>
      <c r="D119" s="127"/>
      <c r="E119" s="127"/>
      <c r="F119" s="127"/>
      <c r="G119" s="127"/>
      <c r="H119" s="127"/>
      <c r="I119" s="127"/>
      <c r="J119" s="128"/>
    </row>
    <row r="120" spans="1:13">
      <c r="A120" s="125" t="s">
        <v>192</v>
      </c>
      <c r="B120" s="130">
        <v>2.8519992923809916</v>
      </c>
      <c r="C120" s="127"/>
      <c r="D120" s="127"/>
      <c r="E120" s="127"/>
      <c r="F120" s="127"/>
      <c r="G120" s="127"/>
      <c r="H120" s="127"/>
      <c r="I120" s="127"/>
      <c r="J120" s="128"/>
    </row>
    <row r="121" spans="1:13">
      <c r="A121" s="125"/>
      <c r="B121" s="127"/>
      <c r="C121" s="127"/>
      <c r="D121" s="127"/>
      <c r="E121" s="127"/>
      <c r="F121" s="127"/>
      <c r="G121" s="127"/>
      <c r="H121" s="127"/>
      <c r="I121" s="127"/>
      <c r="J121" s="128"/>
    </row>
    <row r="122" spans="1:13">
      <c r="A122" s="131"/>
      <c r="B122" s="132"/>
      <c r="C122" s="132"/>
      <c r="D122" s="132"/>
      <c r="E122" s="132"/>
      <c r="F122" s="132"/>
      <c r="G122" s="132"/>
      <c r="H122" s="132"/>
      <c r="I122" s="132"/>
      <c r="J122" s="133"/>
    </row>
    <row r="124" spans="1:13">
      <c r="A124" s="122" t="s">
        <v>538</v>
      </c>
      <c r="B124" s="123"/>
      <c r="C124" s="123"/>
      <c r="D124" s="123"/>
      <c r="E124" s="123"/>
      <c r="F124" s="123"/>
      <c r="G124" s="123"/>
      <c r="H124" s="123"/>
      <c r="I124" s="123"/>
      <c r="J124" s="124"/>
      <c r="M124" t="s">
        <v>524</v>
      </c>
    </row>
    <row r="125" spans="1:13">
      <c r="A125" s="125" t="s">
        <v>209</v>
      </c>
      <c r="B125" s="126" t="s">
        <v>210</v>
      </c>
      <c r="C125" s="127"/>
      <c r="D125" s="127" t="s">
        <v>208</v>
      </c>
      <c r="E125" s="135" t="s">
        <v>211</v>
      </c>
      <c r="F125" s="135" t="s">
        <v>212</v>
      </c>
      <c r="G125" s="127"/>
      <c r="H125" s="127"/>
      <c r="I125" s="127"/>
      <c r="J125" s="128"/>
    </row>
    <row r="126" spans="1:13">
      <c r="A126" s="125" t="s">
        <v>207</v>
      </c>
      <c r="B126" s="129">
        <v>279.76970970256588</v>
      </c>
      <c r="C126" s="127"/>
      <c r="D126" s="127" t="s">
        <v>206</v>
      </c>
      <c r="E126" s="134">
        <v>324.8298856217022</v>
      </c>
      <c r="F126" s="136">
        <v>2.9745931459421983E-2</v>
      </c>
      <c r="G126" s="127"/>
      <c r="H126" s="127"/>
      <c r="I126" s="127"/>
      <c r="J126" s="128"/>
    </row>
    <row r="127" spans="1:13">
      <c r="A127" s="125" t="s">
        <v>205</v>
      </c>
      <c r="B127" s="129">
        <v>1.5788151285880063</v>
      </c>
      <c r="C127" s="127"/>
      <c r="D127" s="127" t="s">
        <v>204</v>
      </c>
      <c r="E127" s="134">
        <v>9621.249608062988</v>
      </c>
      <c r="F127" s="136">
        <v>0.88105511242501089</v>
      </c>
      <c r="G127" s="127"/>
      <c r="H127" s="127"/>
      <c r="I127" s="127"/>
      <c r="J127" s="128"/>
    </row>
    <row r="128" spans="1:13">
      <c r="A128" s="125" t="s">
        <v>59</v>
      </c>
      <c r="B128" s="129">
        <v>47.3644538576402</v>
      </c>
      <c r="C128" s="127"/>
      <c r="D128" s="127" t="s">
        <v>203</v>
      </c>
      <c r="E128" s="134">
        <v>974.0655374036794</v>
      </c>
      <c r="F128" s="136">
        <v>8.919895611556708E-2</v>
      </c>
      <c r="G128" s="127"/>
      <c r="H128" s="127"/>
      <c r="I128" s="127"/>
      <c r="J128" s="128"/>
    </row>
    <row r="129" spans="1:16">
      <c r="A129" s="125" t="s">
        <v>202</v>
      </c>
      <c r="B129" s="129">
        <v>5.8789202455966665</v>
      </c>
      <c r="C129" s="127"/>
      <c r="D129" s="127"/>
      <c r="E129" s="127"/>
      <c r="F129" s="127"/>
      <c r="G129" s="127"/>
      <c r="H129" s="127"/>
      <c r="I129" s="127"/>
      <c r="J129" s="128"/>
    </row>
    <row r="130" spans="1:16">
      <c r="A130" s="125" t="s">
        <v>61</v>
      </c>
      <c r="B130" s="129">
        <v>3.1576302571760126</v>
      </c>
      <c r="C130" s="127"/>
      <c r="D130" s="127"/>
      <c r="E130" s="127"/>
      <c r="F130" s="127"/>
      <c r="G130" s="127"/>
      <c r="H130" s="127"/>
      <c r="I130" s="127"/>
      <c r="J130" s="128"/>
    </row>
    <row r="131" spans="1:16">
      <c r="A131" s="125" t="s">
        <v>201</v>
      </c>
      <c r="B131" s="129">
        <v>10.946080251216873</v>
      </c>
      <c r="C131" s="127"/>
      <c r="D131" s="127"/>
      <c r="E131" s="127"/>
      <c r="F131" s="127"/>
      <c r="G131" s="127"/>
      <c r="H131" s="127"/>
      <c r="I131" s="127"/>
      <c r="J131" s="128"/>
      <c r="O131" s="18">
        <f>B131*1000</f>
        <v>10946.080251216874</v>
      </c>
      <c r="P131" t="s">
        <v>440</v>
      </c>
    </row>
    <row r="132" spans="1:16">
      <c r="A132" s="125" t="s">
        <v>200</v>
      </c>
      <c r="B132" s="129">
        <v>8124.5261862309917</v>
      </c>
      <c r="C132" s="127"/>
      <c r="D132" s="127"/>
      <c r="E132" s="127"/>
      <c r="F132" s="127"/>
      <c r="G132" s="127"/>
      <c r="H132" s="127"/>
      <c r="I132" s="127"/>
      <c r="J132" s="128"/>
      <c r="O132" s="10">
        <f>O131/'Assumptions + TAG factors'!E124</f>
        <v>210.06190671731684</v>
      </c>
      <c r="P132" t="s">
        <v>441</v>
      </c>
    </row>
    <row r="133" spans="1:16">
      <c r="A133" s="125" t="s">
        <v>199</v>
      </c>
      <c r="B133" s="129">
        <v>1496.7234218319961</v>
      </c>
      <c r="C133" s="127"/>
      <c r="D133" s="127"/>
      <c r="E133" s="127"/>
      <c r="F133" s="127"/>
      <c r="G133" s="127"/>
      <c r="H133" s="127"/>
      <c r="I133" s="127"/>
      <c r="J133" s="128"/>
    </row>
    <row r="134" spans="1:16">
      <c r="A134" s="125" t="s">
        <v>198</v>
      </c>
      <c r="B134" s="129">
        <v>974.0655374036794</v>
      </c>
      <c r="C134" s="127"/>
      <c r="D134" s="127"/>
      <c r="E134" s="127"/>
      <c r="F134" s="127"/>
      <c r="G134" s="127"/>
      <c r="H134" s="127"/>
      <c r="I134" s="127"/>
      <c r="J134" s="128"/>
    </row>
    <row r="135" spans="1:16">
      <c r="A135" s="125"/>
      <c r="B135" s="129"/>
      <c r="C135" s="127"/>
      <c r="D135" s="127"/>
      <c r="E135" s="127"/>
      <c r="F135" s="127"/>
      <c r="G135" s="127"/>
      <c r="H135" s="127"/>
      <c r="I135" s="127"/>
      <c r="J135" s="128"/>
    </row>
    <row r="136" spans="1:16">
      <c r="A136" s="125" t="s">
        <v>197</v>
      </c>
      <c r="B136" s="129">
        <v>-23.865723821081474</v>
      </c>
      <c r="C136" s="127"/>
      <c r="D136" s="127"/>
      <c r="E136" s="127"/>
      <c r="F136" s="127"/>
      <c r="G136" s="127"/>
      <c r="H136" s="127"/>
      <c r="I136" s="127"/>
      <c r="J136" s="128"/>
    </row>
    <row r="137" spans="1:16">
      <c r="A137" s="125" t="s">
        <v>196</v>
      </c>
      <c r="B137" s="129">
        <v>7670.6857974185568</v>
      </c>
      <c r="C137" s="127"/>
      <c r="D137" s="127"/>
      <c r="E137" s="127"/>
      <c r="F137" s="127"/>
      <c r="G137" s="127"/>
      <c r="H137" s="127"/>
      <c r="I137" s="127"/>
      <c r="J137" s="128"/>
    </row>
    <row r="138" spans="1:16">
      <c r="A138" s="125" t="s">
        <v>195</v>
      </c>
      <c r="B138" s="129">
        <v>0</v>
      </c>
      <c r="C138" s="127"/>
      <c r="D138" s="127"/>
      <c r="E138" s="127"/>
      <c r="F138" s="127"/>
      <c r="G138" s="127"/>
      <c r="H138" s="127"/>
      <c r="I138" s="127"/>
      <c r="J138" s="128"/>
    </row>
    <row r="139" spans="1:16">
      <c r="A139" s="125"/>
      <c r="B139" s="129"/>
      <c r="C139" s="127"/>
      <c r="D139" s="127"/>
      <c r="E139" s="127"/>
      <c r="F139" s="127"/>
      <c r="G139" s="127"/>
      <c r="H139" s="127"/>
      <c r="I139" s="127"/>
      <c r="J139" s="128"/>
    </row>
    <row r="140" spans="1:16">
      <c r="A140" s="125" t="s">
        <v>194</v>
      </c>
      <c r="B140" s="129">
        <v>10918.56621595978</v>
      </c>
      <c r="C140" s="127"/>
      <c r="D140" s="127"/>
      <c r="E140" s="127"/>
      <c r="F140" s="127"/>
      <c r="G140" s="127"/>
      <c r="H140" s="127"/>
      <c r="I140" s="127"/>
      <c r="J140" s="128"/>
    </row>
    <row r="141" spans="1:16">
      <c r="A141" s="125" t="s">
        <v>193</v>
      </c>
      <c r="B141" s="129">
        <v>7669.106982289969</v>
      </c>
      <c r="C141" s="127"/>
      <c r="D141" s="127"/>
      <c r="E141" s="127"/>
      <c r="F141" s="127"/>
      <c r="G141" s="127"/>
      <c r="H141" s="127"/>
      <c r="I141" s="127"/>
      <c r="J141" s="128"/>
    </row>
    <row r="142" spans="1:16">
      <c r="A142" s="125"/>
      <c r="B142" s="129"/>
      <c r="C142" s="127"/>
      <c r="D142" s="127"/>
      <c r="E142" s="127"/>
      <c r="F142" s="127"/>
      <c r="G142" s="127"/>
      <c r="H142" s="127"/>
      <c r="I142" s="127"/>
      <c r="J142" s="128"/>
    </row>
    <row r="143" spans="1:16">
      <c r="A143" s="125" t="s">
        <v>192</v>
      </c>
      <c r="B143" s="130">
        <v>1.423707641733736</v>
      </c>
      <c r="C143" s="127"/>
      <c r="D143" s="127"/>
      <c r="E143" s="127"/>
      <c r="F143" s="127"/>
      <c r="G143" s="127"/>
      <c r="H143" s="127"/>
      <c r="I143" s="127"/>
      <c r="J143" s="128"/>
    </row>
    <row r="144" spans="1:16">
      <c r="A144" s="125"/>
      <c r="B144" s="127"/>
      <c r="C144" s="127"/>
      <c r="D144" s="127"/>
      <c r="E144" s="127"/>
      <c r="F144" s="127"/>
      <c r="G144" s="127"/>
      <c r="H144" s="127"/>
      <c r="I144" s="127"/>
      <c r="J144" s="128"/>
    </row>
    <row r="145" spans="1:10">
      <c r="A145" s="131"/>
      <c r="B145" s="132"/>
      <c r="C145" s="132"/>
      <c r="D145" s="132"/>
      <c r="E145" s="132"/>
      <c r="F145" s="132"/>
      <c r="G145" s="132"/>
      <c r="H145" s="132"/>
      <c r="I145" s="132"/>
      <c r="J145" s="133"/>
    </row>
  </sheetData>
  <mergeCells count="4">
    <mergeCell ref="A16:A17"/>
    <mergeCell ref="A19:A20"/>
    <mergeCell ref="A36:A37"/>
    <mergeCell ref="A39:A40"/>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294D6-538C-4180-A92D-CD860F815E90}">
  <dimension ref="A1:X145"/>
  <sheetViews>
    <sheetView topLeftCell="A81" workbookViewId="0">
      <selection activeCell="B94" sqref="B94"/>
    </sheetView>
  </sheetViews>
  <sheetFormatPr defaultRowHeight="14.4"/>
  <cols>
    <col min="1" max="1" width="55.44140625" customWidth="1"/>
    <col min="2" max="2" width="28.88671875" customWidth="1"/>
    <col min="3" max="3" width="12" customWidth="1"/>
    <col min="4" max="4" width="18.5546875" customWidth="1"/>
    <col min="5" max="5" width="12.5546875" customWidth="1"/>
    <col min="6" max="6" width="11.21875" bestFit="1" customWidth="1"/>
    <col min="15" max="15" width="10.77734375" bestFit="1" customWidth="1"/>
    <col min="20" max="20" width="21.88671875" customWidth="1"/>
  </cols>
  <sheetData>
    <row r="1" spans="1:24">
      <c r="A1" s="119" t="s">
        <v>253</v>
      </c>
      <c r="B1" s="120"/>
      <c r="C1" s="120"/>
      <c r="D1" s="120"/>
      <c r="E1" s="120"/>
      <c r="F1" s="120"/>
      <c r="G1" s="120"/>
      <c r="H1" s="120"/>
      <c r="I1" s="120"/>
      <c r="J1" s="120"/>
      <c r="K1" s="120"/>
      <c r="L1" s="120"/>
      <c r="M1" s="120"/>
      <c r="N1" s="120"/>
      <c r="O1" s="120"/>
      <c r="P1" s="120"/>
      <c r="Q1" s="120"/>
      <c r="R1" s="120"/>
      <c r="S1" s="120"/>
      <c r="T1" s="120"/>
    </row>
    <row r="2" spans="1:24">
      <c r="A2" s="15" t="s">
        <v>112</v>
      </c>
      <c r="B2" s="95" t="s">
        <v>214</v>
      </c>
      <c r="C2" s="95"/>
      <c r="D2" s="95"/>
      <c r="E2" s="95"/>
      <c r="F2" s="95"/>
      <c r="G2" s="95"/>
      <c r="H2" s="95"/>
      <c r="I2" s="95"/>
      <c r="J2" s="95"/>
      <c r="K2" s="95"/>
      <c r="L2" s="95"/>
      <c r="M2" s="95"/>
      <c r="N2" s="95"/>
      <c r="O2" s="95"/>
      <c r="P2" s="95"/>
      <c r="Q2" s="95"/>
      <c r="R2" s="95"/>
      <c r="S2" s="95"/>
      <c r="T2" s="95"/>
    </row>
    <row r="3" spans="1:24">
      <c r="A3" s="97" t="s">
        <v>115</v>
      </c>
      <c r="B3" s="95" t="s">
        <v>215</v>
      </c>
      <c r="C3" s="95"/>
      <c r="D3" s="95"/>
      <c r="E3" s="95"/>
      <c r="F3" s="95"/>
      <c r="G3" s="95"/>
      <c r="H3" s="95"/>
      <c r="I3" s="95"/>
      <c r="J3" s="95"/>
      <c r="K3" s="95"/>
      <c r="L3" s="95"/>
      <c r="M3" s="95"/>
      <c r="N3" s="95"/>
      <c r="O3" s="95"/>
      <c r="P3" s="95"/>
      <c r="Q3" s="95"/>
      <c r="R3" s="95"/>
      <c r="S3" s="95"/>
      <c r="T3" s="95"/>
    </row>
    <row r="4" spans="1:24">
      <c r="A4" s="97" t="s">
        <v>118</v>
      </c>
      <c r="B4" s="95" t="s">
        <v>216</v>
      </c>
      <c r="C4" s="95"/>
      <c r="D4" s="95"/>
      <c r="E4" s="95"/>
      <c r="F4" s="95"/>
      <c r="G4" s="95"/>
      <c r="H4" s="95"/>
      <c r="I4" s="95"/>
      <c r="J4" s="95"/>
      <c r="K4" s="95"/>
      <c r="L4" s="95"/>
      <c r="M4" s="95"/>
      <c r="N4" s="95"/>
      <c r="O4" s="95"/>
      <c r="P4" s="95"/>
      <c r="Q4" s="95"/>
      <c r="R4" s="95"/>
      <c r="S4" s="95"/>
      <c r="T4" s="95"/>
    </row>
    <row r="5" spans="1:24">
      <c r="A5" s="97" t="s">
        <v>120</v>
      </c>
      <c r="B5" s="95" t="s">
        <v>217</v>
      </c>
      <c r="C5" s="95"/>
      <c r="D5" s="95"/>
      <c r="E5" s="95"/>
      <c r="F5" s="95"/>
      <c r="G5" s="95"/>
      <c r="H5" s="95"/>
      <c r="I5" s="95"/>
      <c r="J5" s="95"/>
      <c r="K5" s="95"/>
      <c r="L5" s="95"/>
      <c r="M5" s="95"/>
      <c r="N5" s="95"/>
      <c r="O5" s="95"/>
      <c r="P5" s="95"/>
      <c r="Q5" s="95"/>
      <c r="R5" s="95"/>
      <c r="S5" s="95"/>
      <c r="T5" s="95"/>
    </row>
    <row r="7" spans="1:24">
      <c r="A7" s="98" t="s">
        <v>122</v>
      </c>
    </row>
    <row r="8" spans="1:24">
      <c r="A8" s="15" t="s">
        <v>124</v>
      </c>
      <c r="B8" s="104">
        <v>2022</v>
      </c>
      <c r="C8" s="95"/>
      <c r="D8" s="95" t="s">
        <v>125</v>
      </c>
      <c r="E8" s="95"/>
      <c r="F8" s="95"/>
      <c r="G8" s="95"/>
      <c r="H8" s="95"/>
      <c r="I8" s="95"/>
      <c r="J8" s="95"/>
      <c r="K8" s="95"/>
      <c r="L8" s="95"/>
      <c r="M8" s="95"/>
      <c r="N8" s="95"/>
      <c r="O8" s="95"/>
      <c r="P8" s="95"/>
      <c r="Q8" s="95"/>
      <c r="R8" s="95"/>
      <c r="S8" s="95"/>
      <c r="T8" s="95"/>
    </row>
    <row r="9" spans="1:24">
      <c r="A9" s="15" t="s">
        <v>126</v>
      </c>
      <c r="B9" s="104">
        <v>2024</v>
      </c>
      <c r="C9" s="95"/>
      <c r="D9" s="95"/>
      <c r="E9" s="95"/>
      <c r="F9" s="95"/>
      <c r="G9" s="95"/>
      <c r="H9" s="95"/>
      <c r="I9" s="95"/>
      <c r="J9" s="95"/>
      <c r="K9" s="95"/>
      <c r="L9" s="95"/>
      <c r="M9" s="95"/>
      <c r="N9" s="95"/>
      <c r="O9" s="95"/>
      <c r="P9" s="95"/>
      <c r="Q9" s="95"/>
      <c r="R9" s="95"/>
      <c r="S9" s="95"/>
      <c r="T9" s="95"/>
    </row>
    <row r="10" spans="1:24">
      <c r="A10" s="15" t="s">
        <v>127</v>
      </c>
      <c r="B10" s="104">
        <v>30</v>
      </c>
      <c r="C10" s="95" t="s">
        <v>128</v>
      </c>
      <c r="D10" s="95"/>
      <c r="E10" s="95"/>
      <c r="F10" s="95"/>
      <c r="G10" s="95"/>
      <c r="H10" s="95"/>
      <c r="I10" s="95"/>
      <c r="J10" s="95"/>
      <c r="K10" s="95"/>
      <c r="L10" s="95"/>
      <c r="M10" s="95"/>
      <c r="N10" s="95"/>
      <c r="O10" s="95"/>
      <c r="P10" s="95"/>
      <c r="Q10" s="95"/>
      <c r="R10" s="95"/>
      <c r="S10" s="95"/>
      <c r="T10" s="95"/>
    </row>
    <row r="11" spans="1:24">
      <c r="A11" s="15" t="s">
        <v>129</v>
      </c>
      <c r="B11" s="104" t="s">
        <v>123</v>
      </c>
      <c r="C11" s="95"/>
      <c r="D11" s="95"/>
      <c r="E11" s="95"/>
      <c r="F11" s="95"/>
      <c r="G11" s="95"/>
      <c r="H11" s="95"/>
      <c r="I11" s="95"/>
      <c r="J11" s="95"/>
      <c r="K11" s="95"/>
      <c r="L11" s="95"/>
      <c r="M11" s="95"/>
      <c r="N11" s="95"/>
      <c r="O11" s="95"/>
      <c r="P11" s="95"/>
      <c r="Q11" s="95"/>
      <c r="R11" s="95"/>
      <c r="S11" s="95"/>
      <c r="T11" s="95"/>
    </row>
    <row r="12" spans="1:24">
      <c r="A12" s="99"/>
      <c r="B12" s="99"/>
      <c r="C12" s="99"/>
      <c r="D12" s="99"/>
      <c r="E12" s="99"/>
      <c r="F12" s="99"/>
      <c r="G12" s="99"/>
      <c r="H12" s="99"/>
      <c r="I12" s="99"/>
      <c r="J12" s="99"/>
      <c r="K12" s="99"/>
      <c r="L12" s="99"/>
      <c r="M12" s="99"/>
      <c r="N12" s="99"/>
      <c r="O12" s="99"/>
      <c r="P12" s="99"/>
      <c r="Q12" s="99"/>
      <c r="R12" s="99"/>
      <c r="S12" s="99"/>
      <c r="T12" s="99"/>
      <c r="U12" s="99"/>
      <c r="V12" s="99"/>
      <c r="W12" s="99"/>
      <c r="X12" s="99"/>
    </row>
    <row r="13" spans="1:24">
      <c r="A13" s="101" t="s">
        <v>250</v>
      </c>
      <c r="B13" s="99"/>
      <c r="C13" s="99"/>
      <c r="D13" s="99"/>
      <c r="E13" s="99"/>
      <c r="F13" s="99"/>
      <c r="G13" s="99"/>
      <c r="H13" s="99"/>
      <c r="I13" s="99"/>
      <c r="J13" s="99"/>
      <c r="K13" s="99"/>
      <c r="L13" s="99"/>
      <c r="M13" s="99"/>
      <c r="N13" s="99"/>
      <c r="O13" s="99"/>
      <c r="P13" s="99"/>
      <c r="Q13" s="99"/>
      <c r="R13" s="99"/>
      <c r="S13" s="99"/>
      <c r="T13" s="99"/>
      <c r="U13" s="99"/>
      <c r="V13" s="99"/>
      <c r="W13" s="99"/>
      <c r="X13" s="99"/>
    </row>
    <row r="14" spans="1:24">
      <c r="A14" s="15" t="s">
        <v>219</v>
      </c>
      <c r="B14" s="114">
        <v>44658</v>
      </c>
      <c r="C14" s="95"/>
      <c r="D14" s="95" t="s">
        <v>36</v>
      </c>
      <c r="E14" s="95" t="s">
        <v>220</v>
      </c>
      <c r="F14" s="95"/>
      <c r="G14" s="95"/>
      <c r="H14" s="95"/>
      <c r="I14" s="95"/>
      <c r="J14" s="95"/>
      <c r="K14" s="95"/>
      <c r="L14" s="95"/>
      <c r="M14" s="95"/>
      <c r="N14" s="95"/>
      <c r="O14" s="95"/>
      <c r="P14" s="95"/>
      <c r="Q14" s="95"/>
      <c r="R14" s="95"/>
      <c r="S14" s="95"/>
      <c r="T14" s="95"/>
      <c r="U14" s="99"/>
      <c r="V14" s="99"/>
      <c r="W14" s="99"/>
      <c r="X14" s="99"/>
    </row>
    <row r="15" spans="1:24">
      <c r="A15" s="15" t="s">
        <v>218</v>
      </c>
      <c r="B15" s="114">
        <v>142</v>
      </c>
      <c r="C15" s="95"/>
      <c r="D15" s="95" t="s">
        <v>36</v>
      </c>
      <c r="E15" s="137" t="s">
        <v>221</v>
      </c>
      <c r="F15" s="95"/>
      <c r="G15" s="95"/>
      <c r="H15" s="95"/>
      <c r="I15" s="95"/>
      <c r="J15" s="95"/>
      <c r="K15" s="95"/>
      <c r="L15" s="95"/>
      <c r="M15" s="95"/>
      <c r="N15" s="95"/>
      <c r="O15" s="95"/>
      <c r="P15" s="95"/>
      <c r="Q15" s="95"/>
      <c r="R15" s="95"/>
      <c r="S15" s="95"/>
      <c r="T15" s="95"/>
      <c r="U15" s="99"/>
      <c r="V15" s="99"/>
      <c r="W15" s="99"/>
      <c r="X15" s="99"/>
    </row>
    <row r="16" spans="1:24">
      <c r="A16" s="15" t="s">
        <v>222</v>
      </c>
      <c r="B16" s="114">
        <v>20</v>
      </c>
      <c r="C16" s="95"/>
      <c r="D16" s="95" t="s">
        <v>36</v>
      </c>
      <c r="E16" s="95" t="s">
        <v>226</v>
      </c>
      <c r="F16" s="95"/>
      <c r="G16" s="95"/>
      <c r="H16" s="95"/>
      <c r="I16" s="95"/>
      <c r="J16" s="95"/>
      <c r="K16" s="95"/>
      <c r="L16" s="95"/>
      <c r="M16" s="95"/>
      <c r="N16" s="95"/>
      <c r="O16" s="95"/>
      <c r="P16" s="95"/>
      <c r="Q16" s="95"/>
      <c r="R16" s="95"/>
      <c r="S16" s="95"/>
      <c r="T16" s="95"/>
      <c r="U16" s="99"/>
      <c r="V16" s="99"/>
      <c r="W16" s="99"/>
      <c r="X16" s="99"/>
    </row>
    <row r="17" spans="1:24">
      <c r="A17" s="15" t="s">
        <v>223</v>
      </c>
      <c r="B17" s="138">
        <f>B16/B15</f>
        <v>0.14084507042253522</v>
      </c>
      <c r="C17" s="95"/>
      <c r="D17" s="95"/>
      <c r="E17" s="95"/>
      <c r="F17" s="95"/>
      <c r="G17" s="95"/>
      <c r="H17" s="95"/>
      <c r="I17" s="95"/>
      <c r="J17" s="95"/>
      <c r="K17" s="95"/>
      <c r="L17" s="95"/>
      <c r="M17" s="95"/>
      <c r="N17" s="95"/>
      <c r="O17" s="95"/>
      <c r="P17" s="95"/>
      <c r="Q17" s="95"/>
      <c r="R17" s="95"/>
      <c r="S17" s="95"/>
      <c r="T17" s="95"/>
      <c r="U17" s="99"/>
      <c r="V17" s="99"/>
      <c r="W17" s="99"/>
      <c r="X17" s="99"/>
    </row>
    <row r="18" spans="1:24">
      <c r="A18" s="15" t="s">
        <v>224</v>
      </c>
      <c r="B18" s="114">
        <f>B14*B17</f>
        <v>6289.8591549295779</v>
      </c>
      <c r="C18" s="95"/>
      <c r="D18" s="95"/>
      <c r="E18" s="95"/>
      <c r="F18" s="95"/>
      <c r="G18" s="95"/>
      <c r="H18" s="95"/>
      <c r="I18" s="95"/>
      <c r="J18" s="95"/>
      <c r="K18" s="95"/>
      <c r="L18" s="95"/>
      <c r="M18" s="95"/>
      <c r="N18" s="95"/>
      <c r="O18" s="95"/>
      <c r="P18" s="95"/>
      <c r="Q18" s="95"/>
      <c r="R18" s="95"/>
      <c r="S18" s="95"/>
      <c r="T18" s="95"/>
      <c r="U18" s="99"/>
      <c r="V18" s="99"/>
      <c r="W18" s="99"/>
      <c r="X18" s="99"/>
    </row>
    <row r="19" spans="1:24">
      <c r="A19" s="15" t="s">
        <v>225</v>
      </c>
      <c r="B19" s="114">
        <f>B18</f>
        <v>6289.8591549295779</v>
      </c>
      <c r="C19" s="95"/>
      <c r="D19" s="95" t="s">
        <v>36</v>
      </c>
      <c r="E19" s="95" t="s">
        <v>252</v>
      </c>
      <c r="F19" s="95"/>
      <c r="G19" s="95"/>
      <c r="H19" s="95"/>
      <c r="I19" s="95"/>
      <c r="J19" s="95"/>
      <c r="K19" s="95"/>
      <c r="L19" s="95"/>
      <c r="M19" s="95"/>
      <c r="N19" s="95"/>
      <c r="O19" s="95"/>
      <c r="P19" s="95"/>
      <c r="Q19" s="95"/>
      <c r="R19" s="95"/>
      <c r="S19" s="95"/>
      <c r="T19" s="95"/>
      <c r="U19" s="99"/>
      <c r="V19" s="99"/>
      <c r="W19" s="99"/>
      <c r="X19" s="99"/>
    </row>
    <row r="20" spans="1:24">
      <c r="A20" s="15" t="s">
        <v>227</v>
      </c>
      <c r="B20" s="114">
        <f>SUM(B18:B19)</f>
        <v>12579.718309859156</v>
      </c>
      <c r="C20" s="95"/>
      <c r="D20" s="95"/>
      <c r="E20" s="95"/>
      <c r="F20" s="95"/>
      <c r="G20" s="95"/>
      <c r="H20" s="95"/>
      <c r="I20" s="95"/>
      <c r="J20" s="95"/>
      <c r="K20" s="95"/>
      <c r="L20" s="95"/>
      <c r="M20" s="95"/>
      <c r="N20" s="95"/>
      <c r="O20" s="95"/>
      <c r="P20" s="95"/>
      <c r="Q20" s="95"/>
      <c r="R20" s="95"/>
      <c r="S20" s="95"/>
      <c r="T20" s="95"/>
      <c r="U20" s="99"/>
      <c r="V20" s="99"/>
      <c r="W20" s="99"/>
      <c r="X20" s="99"/>
    </row>
    <row r="21" spans="1:24" s="99" customFormat="1">
      <c r="B21" s="100"/>
    </row>
    <row r="22" spans="1:24" s="99" customFormat="1">
      <c r="A22" s="101" t="s">
        <v>234</v>
      </c>
      <c r="B22" s="100"/>
    </row>
    <row r="23" spans="1:24" s="99" customFormat="1">
      <c r="A23" s="15" t="s">
        <v>251</v>
      </c>
      <c r="B23" s="138">
        <v>0.03</v>
      </c>
      <c r="C23" s="95"/>
      <c r="D23" s="95" t="s">
        <v>36</v>
      </c>
      <c r="E23" s="95" t="s">
        <v>229</v>
      </c>
      <c r="F23" s="95"/>
      <c r="G23" s="95"/>
      <c r="H23" s="95"/>
      <c r="I23" s="95"/>
      <c r="J23" s="95"/>
      <c r="K23" s="95"/>
      <c r="L23" s="95"/>
      <c r="M23" s="95"/>
      <c r="N23" s="95"/>
      <c r="O23" s="95"/>
      <c r="P23" s="95"/>
      <c r="Q23" s="95"/>
      <c r="R23" s="95"/>
      <c r="S23" s="95"/>
      <c r="T23" s="95"/>
    </row>
    <row r="24" spans="1:24" s="99" customFormat="1">
      <c r="A24" s="15" t="s">
        <v>230</v>
      </c>
      <c r="B24" s="107">
        <f>B20*B23</f>
        <v>377.39154929577467</v>
      </c>
      <c r="C24" s="95"/>
      <c r="D24" s="95" t="s">
        <v>231</v>
      </c>
      <c r="E24" s="95"/>
      <c r="F24" s="95"/>
      <c r="G24" s="95"/>
      <c r="H24" s="95" t="s">
        <v>232</v>
      </c>
      <c r="I24" s="95"/>
      <c r="J24" s="95"/>
      <c r="K24" s="95"/>
      <c r="L24" s="95"/>
      <c r="M24" s="95"/>
      <c r="N24" s="95"/>
      <c r="O24" s="95"/>
      <c r="P24" s="95"/>
      <c r="Q24" s="95"/>
      <c r="R24" s="95"/>
      <c r="S24" s="95"/>
      <c r="T24" s="95"/>
    </row>
    <row r="25" spans="1:24" s="99" customFormat="1">
      <c r="A25" s="15" t="s">
        <v>247</v>
      </c>
      <c r="B25" s="139">
        <v>0.33</v>
      </c>
      <c r="C25" s="95"/>
      <c r="D25" s="95" t="s">
        <v>36</v>
      </c>
      <c r="E25" s="95" t="s">
        <v>248</v>
      </c>
      <c r="F25" s="95"/>
      <c r="G25" s="95"/>
      <c r="H25" s="95"/>
      <c r="I25" s="95"/>
      <c r="J25" s="95"/>
      <c r="K25" s="95"/>
      <c r="L25" s="95"/>
      <c r="M25" s="95"/>
      <c r="N25" s="95"/>
      <c r="O25" s="95"/>
      <c r="P25" s="95"/>
      <c r="Q25" s="95"/>
      <c r="R25" s="95"/>
      <c r="S25" s="95"/>
      <c r="T25" s="95"/>
    </row>
    <row r="26" spans="1:24" s="99" customFormat="1">
      <c r="A26" s="15" t="s">
        <v>233</v>
      </c>
      <c r="B26" s="107">
        <f>B24+(B24*B25)</f>
        <v>501.93076056338032</v>
      </c>
      <c r="C26" s="95"/>
      <c r="D26" s="95" t="s">
        <v>231</v>
      </c>
      <c r="E26" s="95"/>
      <c r="F26" s="95"/>
      <c r="G26" s="95"/>
      <c r="H26" s="95"/>
      <c r="I26" s="95"/>
      <c r="J26" s="95"/>
      <c r="K26" s="95"/>
      <c r="L26" s="95"/>
      <c r="M26" s="95"/>
      <c r="N26" s="95"/>
      <c r="O26" s="95"/>
      <c r="P26" s="95"/>
      <c r="Q26" s="95"/>
      <c r="R26" s="95"/>
      <c r="S26" s="95"/>
      <c r="T26" s="95"/>
    </row>
    <row r="27" spans="1:24" s="99" customFormat="1">
      <c r="A27" s="15" t="s">
        <v>446</v>
      </c>
      <c r="B27" s="114">
        <f>B26-B24</f>
        <v>124.53921126760565</v>
      </c>
      <c r="C27" s="95"/>
      <c r="D27" s="95"/>
      <c r="E27" s="95"/>
      <c r="F27" s="95"/>
      <c r="G27" s="95"/>
      <c r="H27" s="95"/>
      <c r="I27" s="95"/>
      <c r="J27" s="95"/>
      <c r="K27" s="95"/>
      <c r="L27" s="95"/>
      <c r="M27" s="95"/>
      <c r="N27" s="95"/>
      <c r="O27" s="95"/>
      <c r="P27" s="95"/>
      <c r="Q27" s="95"/>
      <c r="R27" s="95"/>
      <c r="S27" s="95"/>
      <c r="T27" s="95"/>
    </row>
    <row r="28" spans="1:24" s="99" customFormat="1">
      <c r="B28" s="100"/>
    </row>
    <row r="29" spans="1:24">
      <c r="A29" s="96" t="s">
        <v>171</v>
      </c>
      <c r="B29" s="14"/>
    </row>
    <row r="30" spans="1:24">
      <c r="A30" s="118" t="s">
        <v>156</v>
      </c>
      <c r="B30" s="117" t="s">
        <v>157</v>
      </c>
      <c r="C30" s="95"/>
      <c r="D30" s="95" t="s">
        <v>155</v>
      </c>
      <c r="E30" s="95"/>
      <c r="F30" s="95" t="s">
        <v>36</v>
      </c>
      <c r="G30" s="95" t="s">
        <v>235</v>
      </c>
      <c r="H30" s="95"/>
      <c r="I30" s="95"/>
      <c r="J30" s="95"/>
      <c r="K30" s="95"/>
      <c r="L30" s="95"/>
      <c r="M30" s="95"/>
      <c r="N30" s="95"/>
      <c r="O30" s="95"/>
      <c r="P30" s="95"/>
      <c r="Q30" s="95"/>
      <c r="R30" s="95"/>
      <c r="S30" s="95"/>
      <c r="T30" s="95"/>
    </row>
    <row r="31" spans="1:24">
      <c r="A31" s="118" t="s">
        <v>158</v>
      </c>
      <c r="B31" s="117" t="s">
        <v>238</v>
      </c>
      <c r="C31" s="95"/>
      <c r="D31" s="95" t="s">
        <v>155</v>
      </c>
      <c r="E31" s="95"/>
      <c r="F31" s="95" t="s">
        <v>36</v>
      </c>
      <c r="G31" s="95" t="s">
        <v>236</v>
      </c>
      <c r="H31" s="95"/>
      <c r="I31" s="95"/>
      <c r="J31" s="95"/>
      <c r="K31" s="95"/>
      <c r="L31" s="95"/>
      <c r="M31" s="95"/>
      <c r="N31" s="95"/>
      <c r="O31" s="95"/>
      <c r="P31" s="95"/>
      <c r="Q31" s="95"/>
      <c r="R31" s="95"/>
      <c r="S31" s="95"/>
      <c r="T31" s="95"/>
    </row>
    <row r="32" spans="1:24">
      <c r="A32" s="15" t="s">
        <v>150</v>
      </c>
      <c r="B32" s="105">
        <v>0.05</v>
      </c>
      <c r="C32" s="95"/>
      <c r="D32" s="112" t="s">
        <v>155</v>
      </c>
      <c r="E32" s="95"/>
      <c r="F32" s="95" t="s">
        <v>36</v>
      </c>
      <c r="G32" s="95" t="s">
        <v>237</v>
      </c>
      <c r="H32" s="95"/>
      <c r="I32" s="95"/>
      <c r="J32" s="95"/>
      <c r="K32" s="95"/>
      <c r="L32" s="95"/>
      <c r="M32" s="95"/>
      <c r="N32" s="95"/>
      <c r="O32" s="95"/>
      <c r="P32" s="95"/>
      <c r="Q32" s="95"/>
      <c r="R32" s="95"/>
      <c r="S32" s="95"/>
      <c r="T32" s="95"/>
    </row>
    <row r="33" spans="1:20" s="99" customFormat="1">
      <c r="B33" s="100"/>
    </row>
    <row r="34" spans="1:20" s="99" customFormat="1">
      <c r="A34" s="101" t="s">
        <v>239</v>
      </c>
      <c r="B34" s="100"/>
    </row>
    <row r="35" spans="1:20" s="99" customFormat="1">
      <c r="A35" s="15" t="s">
        <v>228</v>
      </c>
      <c r="B35" s="138">
        <v>0.41</v>
      </c>
      <c r="C35" s="95"/>
      <c r="D35" s="95" t="s">
        <v>36</v>
      </c>
      <c r="E35" s="95" t="s">
        <v>229</v>
      </c>
      <c r="F35" s="95"/>
      <c r="G35" s="95"/>
      <c r="H35" s="95"/>
      <c r="I35" s="95"/>
      <c r="J35" s="95"/>
      <c r="K35" s="95"/>
      <c r="L35" s="95"/>
      <c r="M35" s="95"/>
      <c r="N35" s="95"/>
      <c r="O35" s="95"/>
      <c r="P35" s="95"/>
      <c r="Q35" s="95"/>
      <c r="R35" s="95"/>
      <c r="S35" s="95"/>
      <c r="T35" s="95"/>
    </row>
    <row r="36" spans="1:20" s="99" customFormat="1">
      <c r="A36" s="15" t="s">
        <v>244</v>
      </c>
      <c r="B36" s="107">
        <f>B20*B35</f>
        <v>5157.6845070422532</v>
      </c>
      <c r="C36" s="95"/>
      <c r="D36" s="95" t="s">
        <v>242</v>
      </c>
      <c r="E36" s="95"/>
      <c r="F36" s="95"/>
      <c r="G36" s="95"/>
      <c r="H36" s="95" t="s">
        <v>243</v>
      </c>
      <c r="I36" s="95"/>
      <c r="J36" s="95"/>
      <c r="K36" s="95"/>
      <c r="L36" s="95"/>
      <c r="M36" s="95"/>
      <c r="N36" s="95"/>
      <c r="O36" s="95"/>
      <c r="P36" s="95"/>
      <c r="Q36" s="95"/>
      <c r="R36" s="95"/>
      <c r="S36" s="95"/>
      <c r="T36" s="95"/>
    </row>
    <row r="37" spans="1:20" s="99" customFormat="1">
      <c r="A37" s="15" t="s">
        <v>245</v>
      </c>
      <c r="B37" s="114">
        <f>B38-B36</f>
        <v>251.59436619718326</v>
      </c>
      <c r="C37" s="95"/>
      <c r="D37" s="95" t="s">
        <v>36</v>
      </c>
      <c r="E37" s="95" t="s">
        <v>249</v>
      </c>
      <c r="F37" s="95"/>
      <c r="G37" s="95"/>
      <c r="H37" s="95"/>
      <c r="I37" s="95"/>
      <c r="J37" s="95"/>
      <c r="K37" s="95"/>
      <c r="L37" s="95"/>
      <c r="M37" s="95"/>
      <c r="N37" s="95"/>
      <c r="O37" s="95"/>
      <c r="P37" s="95"/>
      <c r="Q37" s="95"/>
      <c r="R37" s="95"/>
      <c r="S37" s="95"/>
      <c r="T37" s="95"/>
    </row>
    <row r="38" spans="1:20" s="99" customFormat="1">
      <c r="A38" s="15" t="s">
        <v>246</v>
      </c>
      <c r="B38" s="107">
        <f>SUM(B20*(B35+2%))</f>
        <v>5409.2788732394365</v>
      </c>
      <c r="C38" s="95"/>
      <c r="D38" s="95" t="s">
        <v>231</v>
      </c>
      <c r="E38" s="95"/>
      <c r="F38" s="95"/>
      <c r="G38" s="95"/>
      <c r="H38" s="95"/>
      <c r="I38" s="95"/>
      <c r="J38" s="95"/>
      <c r="K38" s="95"/>
      <c r="L38" s="95"/>
      <c r="M38" s="95"/>
      <c r="N38" s="95"/>
      <c r="O38" s="95"/>
      <c r="P38" s="95"/>
      <c r="Q38" s="95"/>
      <c r="R38" s="95"/>
      <c r="S38" s="95"/>
      <c r="T38" s="95"/>
    </row>
    <row r="39" spans="1:20">
      <c r="A39" s="15" t="s">
        <v>153</v>
      </c>
      <c r="B39" s="105">
        <v>0.1</v>
      </c>
      <c r="C39" s="95"/>
      <c r="D39" s="112" t="s">
        <v>155</v>
      </c>
      <c r="E39" s="95"/>
      <c r="F39" s="95" t="s">
        <v>36</v>
      </c>
      <c r="G39" s="95" t="s">
        <v>237</v>
      </c>
      <c r="H39" s="95"/>
      <c r="I39" s="95"/>
      <c r="J39" s="95"/>
      <c r="K39" s="95"/>
      <c r="L39" s="95"/>
      <c r="M39" s="95"/>
      <c r="N39" s="95"/>
      <c r="O39" s="95"/>
      <c r="P39" s="95"/>
      <c r="Q39" s="95"/>
      <c r="R39" s="95"/>
      <c r="S39" s="95"/>
      <c r="T39" s="95"/>
    </row>
    <row r="40" spans="1:20" s="99" customFormat="1">
      <c r="B40" s="140"/>
    </row>
    <row r="41" spans="1:20">
      <c r="A41" s="98" t="s">
        <v>170</v>
      </c>
      <c r="B41" s="14"/>
    </row>
    <row r="42" spans="1:20" ht="7.2" customHeight="1">
      <c r="A42" s="96"/>
      <c r="B42" s="14"/>
    </row>
    <row r="43" spans="1:20">
      <c r="A43" t="s">
        <v>172</v>
      </c>
      <c r="B43" t="s">
        <v>173</v>
      </c>
      <c r="C43" t="s">
        <v>174</v>
      </c>
    </row>
    <row r="44" spans="1:20">
      <c r="A44" s="121" t="s">
        <v>175</v>
      </c>
      <c r="B44" s="104" t="s">
        <v>182</v>
      </c>
      <c r="C44" s="104" t="s">
        <v>182</v>
      </c>
      <c r="D44" s="95" t="s">
        <v>155</v>
      </c>
      <c r="E44" s="95"/>
      <c r="F44" s="95" t="s">
        <v>36</v>
      </c>
      <c r="G44" s="95" t="s">
        <v>184</v>
      </c>
      <c r="H44" s="95"/>
      <c r="I44" s="95"/>
      <c r="J44" s="95"/>
      <c r="K44" s="95"/>
      <c r="L44" s="95"/>
      <c r="M44" s="95"/>
      <c r="N44" s="95"/>
      <c r="O44" s="95"/>
      <c r="P44" s="95"/>
      <c r="Q44" s="95"/>
      <c r="R44" s="95"/>
      <c r="S44" s="95"/>
      <c r="T44" s="95"/>
    </row>
    <row r="45" spans="1:20">
      <c r="A45" s="121" t="s">
        <v>176</v>
      </c>
      <c r="B45" s="104" t="s">
        <v>183</v>
      </c>
      <c r="C45" s="104" t="s">
        <v>182</v>
      </c>
      <c r="D45" s="95" t="s">
        <v>155</v>
      </c>
      <c r="E45" s="95"/>
      <c r="F45" s="95" t="s">
        <v>36</v>
      </c>
      <c r="G45" s="95" t="s">
        <v>185</v>
      </c>
      <c r="H45" s="95"/>
      <c r="I45" s="95"/>
      <c r="J45" s="95"/>
      <c r="K45" s="95"/>
      <c r="L45" s="95"/>
      <c r="M45" s="95"/>
      <c r="N45" s="95"/>
      <c r="O45" s="95"/>
      <c r="P45" s="95"/>
      <c r="Q45" s="95"/>
      <c r="R45" s="95"/>
      <c r="S45" s="95"/>
      <c r="T45" s="95"/>
    </row>
    <row r="46" spans="1:20">
      <c r="A46" s="121" t="s">
        <v>177</v>
      </c>
      <c r="B46" s="104" t="s">
        <v>183</v>
      </c>
      <c r="C46" s="104" t="s">
        <v>183</v>
      </c>
      <c r="D46" s="95" t="s">
        <v>155</v>
      </c>
      <c r="E46" s="95"/>
      <c r="F46" s="95" t="s">
        <v>36</v>
      </c>
      <c r="G46" s="95" t="s">
        <v>186</v>
      </c>
      <c r="H46" s="95"/>
      <c r="I46" s="95"/>
      <c r="J46" s="95"/>
      <c r="K46" s="95"/>
      <c r="L46" s="95"/>
      <c r="M46" s="95"/>
      <c r="N46" s="95"/>
      <c r="O46" s="95"/>
      <c r="P46" s="95"/>
      <c r="Q46" s="95"/>
      <c r="R46" s="95"/>
      <c r="S46" s="95"/>
      <c r="T46" s="95"/>
    </row>
    <row r="47" spans="1:20">
      <c r="A47" s="121" t="s">
        <v>178</v>
      </c>
      <c r="B47" s="104" t="s">
        <v>183</v>
      </c>
      <c r="C47" s="104" t="s">
        <v>182</v>
      </c>
      <c r="D47" s="95" t="s">
        <v>155</v>
      </c>
      <c r="E47" s="95"/>
      <c r="F47" s="95" t="s">
        <v>36</v>
      </c>
      <c r="G47" s="95" t="s">
        <v>188</v>
      </c>
      <c r="H47" s="95"/>
      <c r="I47" s="95"/>
      <c r="J47" s="95"/>
      <c r="K47" s="95"/>
      <c r="L47" s="95"/>
      <c r="M47" s="95"/>
      <c r="N47" s="95"/>
      <c r="O47" s="95"/>
      <c r="P47" s="95"/>
      <c r="Q47" s="95"/>
      <c r="R47" s="95"/>
      <c r="S47" s="95"/>
      <c r="T47" s="95"/>
    </row>
    <row r="48" spans="1:20">
      <c r="A48" s="121" t="s">
        <v>179</v>
      </c>
      <c r="B48" s="104" t="s">
        <v>183</v>
      </c>
      <c r="C48" s="104" t="s">
        <v>183</v>
      </c>
      <c r="D48" s="95" t="s">
        <v>155</v>
      </c>
      <c r="E48" s="95"/>
      <c r="F48" s="95" t="s">
        <v>36</v>
      </c>
      <c r="G48" s="95" t="s">
        <v>189</v>
      </c>
      <c r="H48" s="95"/>
      <c r="I48" s="95"/>
      <c r="J48" s="95"/>
      <c r="K48" s="95"/>
      <c r="L48" s="95"/>
      <c r="M48" s="95"/>
      <c r="N48" s="95"/>
      <c r="O48" s="95"/>
      <c r="P48" s="95"/>
      <c r="Q48" s="95"/>
      <c r="R48" s="95"/>
      <c r="S48" s="95"/>
      <c r="T48" s="95"/>
    </row>
    <row r="49" spans="1:20">
      <c r="A49" s="121" t="s">
        <v>180</v>
      </c>
      <c r="B49" s="104" t="s">
        <v>183</v>
      </c>
      <c r="C49" s="104" t="s">
        <v>182</v>
      </c>
      <c r="D49" s="95" t="s">
        <v>155</v>
      </c>
      <c r="E49" s="95"/>
      <c r="F49" s="95" t="s">
        <v>36</v>
      </c>
      <c r="G49" s="95" t="s">
        <v>190</v>
      </c>
      <c r="H49" s="95"/>
      <c r="I49" s="95"/>
      <c r="J49" s="95"/>
      <c r="K49" s="95"/>
      <c r="L49" s="95"/>
      <c r="M49" s="95"/>
      <c r="N49" s="95"/>
      <c r="O49" s="95"/>
      <c r="P49" s="95"/>
      <c r="Q49" s="95"/>
      <c r="R49" s="95"/>
      <c r="S49" s="95"/>
      <c r="T49" s="95"/>
    </row>
    <row r="50" spans="1:20">
      <c r="A50" s="121" t="s">
        <v>181</v>
      </c>
      <c r="B50" s="104" t="s">
        <v>183</v>
      </c>
      <c r="C50" s="104" t="s">
        <v>182</v>
      </c>
      <c r="D50" s="95" t="s">
        <v>155</v>
      </c>
      <c r="E50" s="95"/>
      <c r="F50" s="95" t="s">
        <v>36</v>
      </c>
      <c r="G50" s="95" t="s">
        <v>191</v>
      </c>
      <c r="H50" s="95"/>
      <c r="I50" s="95"/>
      <c r="J50" s="95"/>
      <c r="K50" s="95"/>
      <c r="L50" s="95"/>
      <c r="M50" s="95"/>
      <c r="N50" s="95"/>
      <c r="O50" s="95"/>
      <c r="P50" s="95"/>
      <c r="Q50" s="95"/>
      <c r="R50" s="95"/>
      <c r="S50" s="95"/>
      <c r="T50" s="95"/>
    </row>
    <row r="51" spans="1:20" s="99" customFormat="1">
      <c r="A51" s="142"/>
    </row>
    <row r="52" spans="1:20">
      <c r="A52" s="98" t="s">
        <v>348</v>
      </c>
      <c r="B52" s="14"/>
    </row>
    <row r="53" spans="1:20" s="99" customFormat="1">
      <c r="A53" s="121" t="s">
        <v>308</v>
      </c>
      <c r="B53" s="113">
        <f>B26-B24</f>
        <v>124.53921126760565</v>
      </c>
    </row>
    <row r="54" spans="1:20" s="99" customFormat="1">
      <c r="A54" s="121" t="s">
        <v>309</v>
      </c>
      <c r="B54" s="138">
        <v>0.11</v>
      </c>
      <c r="D54" s="95" t="s">
        <v>149</v>
      </c>
      <c r="E54" s="95" t="s">
        <v>310</v>
      </c>
      <c r="F54" s="95"/>
      <c r="G54" s="95"/>
      <c r="H54" s="95"/>
      <c r="I54" s="95"/>
      <c r="J54" s="95"/>
      <c r="K54" s="95"/>
      <c r="L54" s="95"/>
      <c r="M54" s="95"/>
      <c r="N54" s="95"/>
      <c r="O54" s="95"/>
      <c r="P54" s="95"/>
      <c r="Q54" s="95"/>
      <c r="R54" s="95"/>
      <c r="S54" s="95"/>
      <c r="T54" s="95"/>
    </row>
    <row r="55" spans="1:20" s="99" customFormat="1">
      <c r="A55" s="121" t="s">
        <v>345</v>
      </c>
      <c r="B55" s="113">
        <f>0-B53*B54</f>
        <v>-13.699313239436622</v>
      </c>
      <c r="D55" s="99" t="s">
        <v>347</v>
      </c>
    </row>
    <row r="56" spans="1:20" s="99" customFormat="1">
      <c r="A56" s="121" t="s">
        <v>311</v>
      </c>
      <c r="B56" s="116">
        <v>5.4</v>
      </c>
      <c r="D56" s="95" t="s">
        <v>36</v>
      </c>
      <c r="E56" s="95" t="s">
        <v>312</v>
      </c>
      <c r="F56" s="95"/>
      <c r="G56" s="95"/>
      <c r="H56" s="95"/>
      <c r="I56" s="95"/>
      <c r="J56" s="95"/>
      <c r="K56" s="95"/>
      <c r="L56" s="95"/>
      <c r="M56" s="95"/>
      <c r="N56" s="95"/>
      <c r="O56" s="95"/>
      <c r="P56" s="95"/>
      <c r="Q56" s="95"/>
      <c r="R56" s="95"/>
      <c r="S56" s="95"/>
      <c r="T56" s="95"/>
    </row>
    <row r="57" spans="1:20" s="99" customFormat="1">
      <c r="A57" s="121" t="s">
        <v>346</v>
      </c>
      <c r="B57" s="245">
        <f>B55*B56</f>
        <v>-73.976291492957756</v>
      </c>
      <c r="D57" s="99" t="s">
        <v>347</v>
      </c>
    </row>
    <row r="58" spans="1:20" s="99" customFormat="1">
      <c r="A58" s="142"/>
    </row>
    <row r="59" spans="1:20">
      <c r="A59" s="98" t="s">
        <v>348</v>
      </c>
      <c r="B59" s="14"/>
    </row>
    <row r="60" spans="1:20" s="99" customFormat="1">
      <c r="A60" s="121" t="s">
        <v>308</v>
      </c>
      <c r="B60" s="113">
        <f>B26-B24</f>
        <v>124.53921126760565</v>
      </c>
    </row>
    <row r="61" spans="1:20" s="99" customFormat="1">
      <c r="A61" s="121" t="s">
        <v>349</v>
      </c>
      <c r="B61" s="113">
        <f>B60+(B60*90%)</f>
        <v>236.62450140845073</v>
      </c>
      <c r="D61" s="95" t="s">
        <v>350</v>
      </c>
      <c r="E61" s="95"/>
      <c r="F61" s="95"/>
      <c r="G61" s="95"/>
      <c r="H61" s="95"/>
      <c r="I61" s="95"/>
      <c r="J61" s="95"/>
      <c r="K61" s="95"/>
      <c r="L61" s="95"/>
      <c r="M61" s="95"/>
      <c r="N61" s="95"/>
      <c r="O61" s="95"/>
      <c r="P61" s="95"/>
      <c r="Q61" s="95"/>
      <c r="R61" s="95"/>
      <c r="S61" s="95"/>
      <c r="T61" s="95"/>
    </row>
    <row r="62" spans="1:20" s="99" customFormat="1">
      <c r="A62" s="121" t="s">
        <v>309</v>
      </c>
      <c r="B62" s="138">
        <v>1</v>
      </c>
      <c r="D62" s="95" t="s">
        <v>149</v>
      </c>
      <c r="E62" s="95" t="s">
        <v>354</v>
      </c>
      <c r="F62" s="95"/>
      <c r="G62" s="95"/>
      <c r="H62" s="95"/>
      <c r="I62" s="95"/>
      <c r="J62" s="95"/>
      <c r="K62" s="95"/>
      <c r="L62" s="95"/>
      <c r="M62" s="95"/>
      <c r="N62" s="95"/>
      <c r="O62" s="95"/>
      <c r="P62" s="95"/>
      <c r="Q62" s="95"/>
      <c r="R62" s="95"/>
      <c r="S62" s="95"/>
      <c r="T62" s="95"/>
    </row>
    <row r="63" spans="1:20" s="99" customFormat="1">
      <c r="A63" s="121" t="s">
        <v>311</v>
      </c>
      <c r="B63" s="116">
        <v>5.4</v>
      </c>
      <c r="D63" s="95" t="s">
        <v>36</v>
      </c>
      <c r="E63" s="95" t="s">
        <v>312</v>
      </c>
      <c r="F63" s="95"/>
      <c r="G63" s="95"/>
      <c r="H63" s="95"/>
      <c r="I63" s="95"/>
      <c r="J63" s="95"/>
      <c r="K63" s="95"/>
      <c r="L63" s="95"/>
      <c r="M63" s="95"/>
      <c r="N63" s="95"/>
      <c r="O63" s="95"/>
      <c r="P63" s="95"/>
      <c r="Q63" s="95"/>
      <c r="R63" s="95"/>
      <c r="S63" s="95"/>
      <c r="T63" s="95"/>
    </row>
    <row r="64" spans="1:20" s="99" customFormat="1">
      <c r="A64" s="121" t="s">
        <v>352</v>
      </c>
      <c r="B64" s="113">
        <f>0-B61*B62</f>
        <v>-236.62450140845073</v>
      </c>
      <c r="D64" s="95" t="s">
        <v>347</v>
      </c>
      <c r="E64" s="95"/>
      <c r="F64" s="95"/>
      <c r="G64" s="95"/>
      <c r="H64" s="95"/>
      <c r="I64" s="95"/>
      <c r="J64" s="95"/>
      <c r="K64" s="95"/>
      <c r="L64" s="95"/>
      <c r="M64" s="95"/>
      <c r="N64" s="95"/>
      <c r="O64" s="95"/>
      <c r="P64" s="95"/>
      <c r="Q64" s="95"/>
      <c r="R64" s="95"/>
      <c r="S64" s="95"/>
      <c r="T64" s="95"/>
    </row>
    <row r="65" spans="1:20" s="99" customFormat="1">
      <c r="A65" s="121" t="s">
        <v>351</v>
      </c>
      <c r="B65" s="113">
        <f>B64*B63</f>
        <v>-1277.7723076056341</v>
      </c>
      <c r="D65" s="95" t="s">
        <v>347</v>
      </c>
      <c r="E65" s="95"/>
      <c r="F65" s="95"/>
      <c r="G65" s="95"/>
      <c r="H65" s="95"/>
      <c r="I65" s="95"/>
      <c r="J65" s="95"/>
      <c r="K65" s="95"/>
      <c r="L65" s="95"/>
      <c r="M65" s="95"/>
      <c r="N65" s="95"/>
      <c r="O65" s="95"/>
      <c r="P65" s="95"/>
      <c r="Q65" s="95"/>
      <c r="R65" s="95"/>
      <c r="S65" s="95"/>
      <c r="T65" s="95"/>
    </row>
    <row r="66" spans="1:20" s="99" customFormat="1">
      <c r="A66" s="121" t="s">
        <v>355</v>
      </c>
      <c r="B66" s="113">
        <f>B37</f>
        <v>251.59436619718326</v>
      </c>
    </row>
    <row r="67" spans="1:20" s="99" customFormat="1">
      <c r="A67" s="121" t="s">
        <v>349</v>
      </c>
      <c r="B67" s="113">
        <f>B66+(B66*90%)</f>
        <v>478.02929577464818</v>
      </c>
      <c r="D67" s="95" t="s">
        <v>350</v>
      </c>
      <c r="E67" s="95"/>
      <c r="F67" s="95"/>
      <c r="G67" s="95"/>
      <c r="H67" s="95"/>
      <c r="I67" s="95"/>
      <c r="J67" s="95"/>
      <c r="K67" s="95"/>
      <c r="L67" s="95"/>
      <c r="M67" s="95"/>
      <c r="N67" s="95"/>
      <c r="O67" s="95"/>
      <c r="P67" s="95"/>
      <c r="Q67" s="95"/>
      <c r="R67" s="95"/>
      <c r="S67" s="95"/>
      <c r="T67" s="95"/>
    </row>
    <row r="68" spans="1:20" s="99" customFormat="1">
      <c r="A68" s="121" t="s">
        <v>309</v>
      </c>
      <c r="B68" s="138">
        <v>1</v>
      </c>
      <c r="D68" s="95" t="s">
        <v>149</v>
      </c>
      <c r="E68" s="95" t="s">
        <v>354</v>
      </c>
      <c r="F68" s="95"/>
      <c r="G68" s="95"/>
      <c r="H68" s="95"/>
      <c r="I68" s="95"/>
      <c r="J68" s="95"/>
      <c r="K68" s="95"/>
      <c r="L68" s="95"/>
      <c r="M68" s="95"/>
      <c r="N68" s="95"/>
      <c r="O68" s="95"/>
      <c r="P68" s="95"/>
      <c r="Q68" s="95"/>
      <c r="R68" s="95"/>
      <c r="S68" s="95"/>
      <c r="T68" s="95"/>
    </row>
    <row r="69" spans="1:20" s="99" customFormat="1">
      <c r="A69" s="121" t="s">
        <v>311</v>
      </c>
      <c r="B69" s="116">
        <v>5.4</v>
      </c>
      <c r="D69" s="95" t="s">
        <v>36</v>
      </c>
      <c r="E69" s="95" t="s">
        <v>312</v>
      </c>
      <c r="F69" s="95"/>
      <c r="G69" s="95"/>
      <c r="H69" s="95"/>
      <c r="I69" s="95"/>
      <c r="J69" s="95"/>
      <c r="K69" s="95"/>
      <c r="L69" s="95"/>
      <c r="M69" s="95"/>
      <c r="N69" s="95"/>
      <c r="O69" s="95"/>
      <c r="P69" s="95"/>
      <c r="Q69" s="95"/>
      <c r="R69" s="95"/>
      <c r="S69" s="95"/>
      <c r="T69" s="95"/>
    </row>
    <row r="70" spans="1:20" s="99" customFormat="1">
      <c r="A70" s="121" t="s">
        <v>502</v>
      </c>
      <c r="B70" s="113">
        <f>0-B67*B68</f>
        <v>-478.02929577464818</v>
      </c>
    </row>
    <row r="71" spans="1:20" s="99" customFormat="1">
      <c r="A71" s="121" t="s">
        <v>503</v>
      </c>
      <c r="B71" s="113">
        <f>B70*B69</f>
        <v>-2581.3581971831004</v>
      </c>
    </row>
    <row r="72" spans="1:20" s="99" customFormat="1" ht="9.6" customHeight="1">
      <c r="A72" s="121"/>
      <c r="B72" s="245"/>
    </row>
    <row r="73" spans="1:20" s="99" customFormat="1">
      <c r="A73" s="121" t="s">
        <v>356</v>
      </c>
      <c r="B73" s="113">
        <f>B70+B64</f>
        <v>-714.65379718309896</v>
      </c>
      <c r="D73" s="95" t="s">
        <v>347</v>
      </c>
      <c r="E73" s="95"/>
      <c r="F73" s="95"/>
      <c r="G73" s="95"/>
      <c r="H73" s="95"/>
      <c r="I73" s="95"/>
      <c r="J73" s="95"/>
      <c r="K73" s="95"/>
      <c r="L73" s="95"/>
      <c r="M73" s="95"/>
      <c r="N73" s="95"/>
      <c r="O73" s="95"/>
      <c r="P73" s="95"/>
      <c r="Q73" s="95"/>
      <c r="R73" s="95"/>
      <c r="S73" s="95"/>
      <c r="T73" s="95"/>
    </row>
    <row r="74" spans="1:20" s="99" customFormat="1">
      <c r="A74" s="121" t="s">
        <v>353</v>
      </c>
      <c r="B74" s="113">
        <f>B65+B71</f>
        <v>-3859.1305047887345</v>
      </c>
      <c r="D74" s="95" t="s">
        <v>347</v>
      </c>
      <c r="E74" s="95"/>
      <c r="F74" s="95"/>
      <c r="G74" s="95"/>
      <c r="H74" s="95"/>
      <c r="I74" s="95"/>
      <c r="J74" s="95"/>
      <c r="K74" s="95"/>
      <c r="L74" s="95"/>
      <c r="M74" s="95"/>
      <c r="N74" s="95"/>
      <c r="O74" s="95"/>
      <c r="P74" s="95"/>
      <c r="Q74" s="95"/>
      <c r="R74" s="95"/>
      <c r="S74" s="95"/>
      <c r="T74" s="95"/>
    </row>
    <row r="75" spans="1:20" s="99" customFormat="1">
      <c r="A75" s="142"/>
      <c r="B75" s="341"/>
    </row>
    <row r="76" spans="1:20" s="99" customFormat="1">
      <c r="A76" s="142"/>
      <c r="B76" s="341"/>
    </row>
    <row r="78" spans="1:20">
      <c r="A78" s="343" t="s">
        <v>213</v>
      </c>
      <c r="B78" s="123"/>
      <c r="C78" s="123"/>
      <c r="D78" s="123"/>
      <c r="E78" s="123"/>
      <c r="F78" s="123"/>
      <c r="G78" s="123"/>
      <c r="H78" s="123"/>
      <c r="I78" s="123"/>
      <c r="J78" s="124"/>
      <c r="M78" t="s">
        <v>522</v>
      </c>
    </row>
    <row r="79" spans="1:20">
      <c r="A79" s="125" t="s">
        <v>209</v>
      </c>
      <c r="B79" s="126" t="s">
        <v>210</v>
      </c>
      <c r="C79" s="127"/>
      <c r="D79" s="127" t="s">
        <v>208</v>
      </c>
      <c r="E79" s="135" t="s">
        <v>211</v>
      </c>
      <c r="F79" s="135" t="s">
        <v>212</v>
      </c>
      <c r="G79" s="127"/>
      <c r="H79" s="127"/>
      <c r="I79" s="127"/>
      <c r="J79" s="128"/>
    </row>
    <row r="80" spans="1:20">
      <c r="A80" s="125" t="s">
        <v>207</v>
      </c>
      <c r="B80" s="129">
        <v>397.76543007750905</v>
      </c>
      <c r="C80" s="127"/>
      <c r="D80" s="127" t="s">
        <v>206</v>
      </c>
      <c r="E80" s="134">
        <v>461.8301934605733</v>
      </c>
      <c r="F80" s="136">
        <v>0.18823067952644865</v>
      </c>
      <c r="G80" s="127"/>
      <c r="H80" s="127"/>
      <c r="I80" s="127"/>
      <c r="J80" s="128"/>
    </row>
    <row r="81" spans="1:16">
      <c r="A81" s="125" t="s">
        <v>205</v>
      </c>
      <c r="B81" s="129">
        <v>2.2446964659016717</v>
      </c>
      <c r="C81" s="127"/>
      <c r="D81" s="127" t="s">
        <v>204</v>
      </c>
      <c r="E81" s="134">
        <v>1853.075478284115</v>
      </c>
      <c r="F81" s="136">
        <v>0.75526819473962248</v>
      </c>
      <c r="G81" s="127"/>
      <c r="H81" s="127"/>
      <c r="I81" s="127"/>
      <c r="J81" s="128"/>
    </row>
    <row r="82" spans="1:16">
      <c r="A82" s="125" t="s">
        <v>59</v>
      </c>
      <c r="B82" s="129">
        <v>67.340893977050143</v>
      </c>
      <c r="C82" s="127"/>
      <c r="D82" s="127" t="s">
        <v>203</v>
      </c>
      <c r="E82" s="134">
        <v>138.62737941597871</v>
      </c>
      <c r="F82" s="136">
        <v>5.6501125733928757E-2</v>
      </c>
      <c r="G82" s="127"/>
      <c r="H82" s="127"/>
      <c r="I82" s="127"/>
      <c r="J82" s="128"/>
    </row>
    <row r="83" spans="1:16">
      <c r="A83" s="125" t="s">
        <v>202</v>
      </c>
      <c r="B83" s="129">
        <v>8.3584146488453346</v>
      </c>
      <c r="C83" s="127"/>
      <c r="D83" s="127"/>
      <c r="E83" s="127"/>
      <c r="F83" s="127"/>
      <c r="G83" s="127"/>
      <c r="H83" s="127"/>
      <c r="I83" s="127"/>
      <c r="J83" s="128"/>
    </row>
    <row r="84" spans="1:16">
      <c r="A84" s="125" t="s">
        <v>61</v>
      </c>
      <c r="B84" s="129">
        <v>4.4893929318033434</v>
      </c>
      <c r="C84" s="127"/>
      <c r="D84" s="127"/>
      <c r="E84" s="127"/>
      <c r="F84" s="127"/>
      <c r="G84" s="127"/>
      <c r="H84" s="127"/>
      <c r="I84" s="127"/>
      <c r="J84" s="128"/>
    </row>
    <row r="85" spans="1:16">
      <c r="A85" s="125" t="s">
        <v>201</v>
      </c>
      <c r="B85" s="129">
        <v>15.562700920757596</v>
      </c>
      <c r="C85" s="127"/>
      <c r="D85" s="127"/>
      <c r="E85" s="127"/>
      <c r="F85" s="127"/>
      <c r="G85" s="127"/>
      <c r="H85" s="127"/>
      <c r="I85" s="127"/>
      <c r="J85" s="128"/>
      <c r="O85" s="18">
        <f>B85*1000</f>
        <v>15562.700920757596</v>
      </c>
      <c r="P85" t="s">
        <v>440</v>
      </c>
    </row>
    <row r="86" spans="1:16">
      <c r="A86" s="125" t="s">
        <v>200</v>
      </c>
      <c r="B86" s="129">
        <v>1602.8990570617952</v>
      </c>
      <c r="C86" s="127"/>
      <c r="D86" s="127"/>
      <c r="E86" s="127"/>
      <c r="F86" s="127"/>
      <c r="G86" s="127"/>
      <c r="H86" s="127"/>
      <c r="I86" s="127"/>
      <c r="J86" s="128"/>
      <c r="O86" s="10">
        <f>O85/'Assumptions + TAG factors'!E124</f>
        <v>298.65765224243211</v>
      </c>
      <c r="P86" t="s">
        <v>441</v>
      </c>
    </row>
    <row r="87" spans="1:16">
      <c r="A87" s="125" t="s">
        <v>199</v>
      </c>
      <c r="B87" s="129">
        <v>250.17642122231979</v>
      </c>
      <c r="C87" s="127"/>
      <c r="D87" s="127"/>
      <c r="E87" s="127"/>
      <c r="F87" s="127"/>
      <c r="G87" s="127"/>
      <c r="H87" s="127"/>
      <c r="I87" s="127"/>
      <c r="J87" s="128"/>
      <c r="O87" s="10"/>
    </row>
    <row r="88" spans="1:16">
      <c r="A88" s="125" t="s">
        <v>198</v>
      </c>
      <c r="B88" s="129">
        <v>138.62737941597871</v>
      </c>
      <c r="C88" s="127"/>
      <c r="D88" s="127"/>
      <c r="E88" s="127"/>
      <c r="F88" s="127"/>
      <c r="G88" s="127"/>
      <c r="H88" s="127"/>
      <c r="I88" s="127"/>
      <c r="J88" s="128"/>
    </row>
    <row r="89" spans="1:16">
      <c r="A89" s="125"/>
      <c r="B89" s="129"/>
      <c r="C89" s="127"/>
      <c r="D89" s="127"/>
      <c r="E89" s="127"/>
      <c r="F89" s="127"/>
      <c r="G89" s="127"/>
      <c r="H89" s="127"/>
      <c r="I89" s="127"/>
      <c r="J89" s="128"/>
    </row>
    <row r="90" spans="1:16">
      <c r="A90" s="125" t="s">
        <v>197</v>
      </c>
      <c r="B90" s="129">
        <v>-33.931335561293835</v>
      </c>
      <c r="C90" s="127"/>
      <c r="D90" s="127"/>
      <c r="E90" s="127"/>
      <c r="F90" s="127"/>
      <c r="G90" s="127"/>
      <c r="H90" s="127"/>
      <c r="I90" s="127"/>
      <c r="J90" s="128"/>
    </row>
    <row r="91" spans="1:16">
      <c r="A91" s="125" t="s">
        <v>196</v>
      </c>
      <c r="B91" s="129">
        <v>1095.6775838417091</v>
      </c>
      <c r="C91" s="127"/>
      <c r="D91" s="127"/>
      <c r="E91" s="127"/>
      <c r="F91" s="127"/>
      <c r="G91" s="127"/>
      <c r="H91" s="127"/>
      <c r="I91" s="127"/>
      <c r="J91" s="128"/>
    </row>
    <row r="92" spans="1:16">
      <c r="A92" s="125" t="s">
        <v>195</v>
      </c>
      <c r="B92" s="129">
        <v>0</v>
      </c>
      <c r="C92" s="127"/>
      <c r="D92" s="127"/>
      <c r="E92" s="127"/>
      <c r="F92" s="127"/>
      <c r="G92" s="127"/>
      <c r="H92" s="127"/>
      <c r="I92" s="127"/>
      <c r="J92" s="128"/>
    </row>
    <row r="93" spans="1:16">
      <c r="A93" s="125"/>
      <c r="B93" s="129"/>
      <c r="C93" s="127"/>
      <c r="D93" s="127"/>
      <c r="E93" s="127"/>
      <c r="F93" s="127"/>
      <c r="G93" s="127"/>
      <c r="H93" s="127"/>
      <c r="I93" s="127"/>
      <c r="J93" s="128"/>
    </row>
    <row r="94" spans="1:16">
      <c r="A94" s="125" t="s">
        <v>194</v>
      </c>
      <c r="B94" s="129">
        <v>2451.2883546947655</v>
      </c>
      <c r="C94" s="134"/>
      <c r="D94" s="127"/>
      <c r="E94" s="127"/>
      <c r="F94" s="127"/>
      <c r="G94" s="127"/>
      <c r="H94" s="127"/>
      <c r="I94" s="127"/>
      <c r="J94" s="128"/>
    </row>
    <row r="95" spans="1:16">
      <c r="A95" s="125" t="s">
        <v>193</v>
      </c>
      <c r="B95" s="129">
        <v>1093.4328873758075</v>
      </c>
      <c r="C95" s="127"/>
      <c r="D95" s="127"/>
      <c r="E95" s="127"/>
      <c r="F95" s="127"/>
      <c r="G95" s="127"/>
      <c r="H95" s="127"/>
      <c r="I95" s="127"/>
      <c r="J95" s="128"/>
    </row>
    <row r="96" spans="1:16">
      <c r="A96" s="125"/>
      <c r="B96" s="129"/>
      <c r="C96" s="127"/>
      <c r="D96" s="127"/>
      <c r="E96" s="127"/>
      <c r="F96" s="127"/>
      <c r="G96" s="127"/>
      <c r="H96" s="127"/>
      <c r="I96" s="127"/>
      <c r="J96" s="128"/>
    </row>
    <row r="97" spans="1:16">
      <c r="A97" s="125" t="s">
        <v>192</v>
      </c>
      <c r="B97" s="130">
        <v>2.2418279009128339</v>
      </c>
      <c r="C97" s="127"/>
      <c r="D97" s="127"/>
      <c r="E97" s="127"/>
      <c r="F97" s="127"/>
      <c r="G97" s="127"/>
      <c r="H97" s="127"/>
      <c r="I97" s="127"/>
      <c r="J97" s="128"/>
    </row>
    <row r="98" spans="1:16">
      <c r="A98" s="125"/>
      <c r="B98" s="127"/>
      <c r="C98" s="127"/>
      <c r="D98" s="127"/>
      <c r="E98" s="127"/>
      <c r="F98" s="127"/>
      <c r="G98" s="127"/>
      <c r="H98" s="127"/>
      <c r="I98" s="127"/>
      <c r="J98" s="128"/>
    </row>
    <row r="99" spans="1:16">
      <c r="A99" s="131"/>
      <c r="B99" s="132"/>
      <c r="C99" s="132"/>
      <c r="D99" s="132"/>
      <c r="E99" s="132"/>
      <c r="F99" s="132"/>
      <c r="G99" s="132"/>
      <c r="H99" s="132"/>
      <c r="I99" s="132"/>
      <c r="J99" s="133"/>
    </row>
    <row r="100" spans="1:16">
      <c r="A100" s="122" t="s">
        <v>539</v>
      </c>
      <c r="B100" s="123"/>
      <c r="C100" s="123"/>
      <c r="D100" s="123"/>
      <c r="E100" s="123"/>
      <c r="F100" s="123"/>
      <c r="G100" s="123"/>
      <c r="H100" s="123"/>
      <c r="I100" s="123"/>
      <c r="J100" s="124"/>
      <c r="M100" t="s">
        <v>521</v>
      </c>
    </row>
    <row r="101" spans="1:16" ht="13.8" customHeight="1">
      <c r="B101" s="127"/>
      <c r="C101" s="127"/>
      <c r="D101" s="127"/>
      <c r="E101" s="127"/>
      <c r="F101" s="127"/>
      <c r="G101" s="127"/>
      <c r="H101" s="127"/>
      <c r="I101" s="127"/>
      <c r="J101" s="128"/>
    </row>
    <row r="102" spans="1:16">
      <c r="A102" s="125" t="s">
        <v>209</v>
      </c>
      <c r="B102" s="126" t="s">
        <v>210</v>
      </c>
      <c r="C102" s="127"/>
      <c r="D102" s="127" t="s">
        <v>208</v>
      </c>
      <c r="E102" s="135" t="s">
        <v>211</v>
      </c>
      <c r="F102" s="135" t="s">
        <v>212</v>
      </c>
      <c r="G102" s="127"/>
      <c r="H102" s="127"/>
      <c r="I102" s="127"/>
      <c r="J102" s="128"/>
    </row>
    <row r="103" spans="1:16">
      <c r="A103" s="125" t="s">
        <v>207</v>
      </c>
      <c r="B103" s="129">
        <v>600.26571526679504</v>
      </c>
      <c r="C103" s="127"/>
      <c r="D103" s="127" t="s">
        <v>206</v>
      </c>
      <c r="E103" s="134">
        <v>696.94551222159703</v>
      </c>
      <c r="F103" s="136">
        <v>0.20231349868785908</v>
      </c>
      <c r="G103" s="127"/>
      <c r="H103" s="127"/>
      <c r="I103" s="127"/>
      <c r="J103" s="128"/>
    </row>
    <row r="104" spans="1:16">
      <c r="A104" s="125" t="s">
        <v>205</v>
      </c>
      <c r="B104" s="129">
        <v>3.3874596125630001</v>
      </c>
      <c r="C104" s="127"/>
      <c r="D104" s="127" t="s">
        <v>204</v>
      </c>
      <c r="E104" s="134">
        <v>2605.2701023767481</v>
      </c>
      <c r="F104" s="136">
        <v>0.75627333872712965</v>
      </c>
      <c r="G104" s="127"/>
      <c r="H104" s="127"/>
      <c r="I104" s="127"/>
      <c r="J104" s="128"/>
    </row>
    <row r="105" spans="1:16">
      <c r="A105" s="125" t="s">
        <v>59</v>
      </c>
      <c r="B105" s="129">
        <v>101.62378837688998</v>
      </c>
      <c r="C105" s="127"/>
      <c r="D105" s="127" t="s">
        <v>203</v>
      </c>
      <c r="E105" s="134">
        <v>142.66333189688928</v>
      </c>
      <c r="F105" s="136">
        <v>4.141316258501121E-2</v>
      </c>
      <c r="G105" s="127"/>
      <c r="H105" s="127"/>
      <c r="I105" s="127"/>
      <c r="J105" s="128"/>
    </row>
    <row r="106" spans="1:16">
      <c r="A106" s="125" t="s">
        <v>202</v>
      </c>
      <c r="B106" s="129">
        <v>12.613639517913686</v>
      </c>
      <c r="C106" s="127"/>
      <c r="D106" s="127"/>
      <c r="E106" s="127"/>
      <c r="F106" s="127"/>
      <c r="G106" s="127"/>
      <c r="H106" s="127"/>
      <c r="I106" s="127"/>
      <c r="J106" s="128"/>
    </row>
    <row r="107" spans="1:16">
      <c r="A107" s="125" t="s">
        <v>61</v>
      </c>
      <c r="B107" s="129">
        <v>6.7749192251260002</v>
      </c>
      <c r="C107" s="127"/>
      <c r="D107" s="127"/>
      <c r="E107" s="127"/>
      <c r="F107" s="127"/>
      <c r="G107" s="127"/>
      <c r="H107" s="127"/>
      <c r="I107" s="127"/>
      <c r="J107" s="128"/>
    </row>
    <row r="108" spans="1:16">
      <c r="A108" s="125" t="s">
        <v>201</v>
      </c>
      <c r="B108" s="129">
        <v>23.48558998166688</v>
      </c>
      <c r="C108" s="127"/>
      <c r="D108" s="127"/>
      <c r="E108" s="127"/>
      <c r="F108" s="127"/>
      <c r="G108" s="127"/>
      <c r="H108" s="127"/>
      <c r="I108" s="127"/>
      <c r="J108" s="128"/>
      <c r="O108" s="18">
        <f>B108*1000</f>
        <v>23485.589981666879</v>
      </c>
      <c r="P108" t="s">
        <v>440</v>
      </c>
    </row>
    <row r="109" spans="1:16">
      <c r="A109" s="125" t="s">
        <v>200</v>
      </c>
      <c r="B109" s="129">
        <v>2416.8264979258111</v>
      </c>
      <c r="C109" s="127"/>
      <c r="D109" s="127"/>
      <c r="E109" s="127"/>
      <c r="F109" s="127"/>
      <c r="G109" s="127"/>
      <c r="H109" s="127"/>
      <c r="I109" s="127"/>
      <c r="J109" s="128"/>
      <c r="O109" s="10">
        <f>O108/'Assumptions + TAG factors'!E124</f>
        <v>450.70268979451441</v>
      </c>
      <c r="P109" t="s">
        <v>441</v>
      </c>
    </row>
    <row r="110" spans="1:16">
      <c r="A110" s="125" t="s">
        <v>199</v>
      </c>
      <c r="B110" s="129">
        <v>188.44360445093722</v>
      </c>
      <c r="C110" s="127"/>
      <c r="D110" s="127"/>
      <c r="E110" s="127"/>
      <c r="F110" s="127"/>
      <c r="G110" s="127"/>
      <c r="H110" s="127"/>
      <c r="I110" s="127"/>
      <c r="J110" s="128"/>
    </row>
    <row r="111" spans="1:16">
      <c r="A111" s="125" t="s">
        <v>198</v>
      </c>
      <c r="B111" s="129">
        <v>142.66333189688928</v>
      </c>
      <c r="C111" s="127"/>
      <c r="D111" s="127"/>
      <c r="E111" s="127"/>
      <c r="F111" s="127"/>
      <c r="G111" s="127"/>
      <c r="H111" s="127"/>
      <c r="I111" s="127"/>
      <c r="J111" s="128"/>
    </row>
    <row r="112" spans="1:16">
      <c r="A112" s="125"/>
      <c r="B112" s="129"/>
      <c r="C112" s="127"/>
      <c r="D112" s="127"/>
      <c r="E112" s="127"/>
      <c r="F112" s="127"/>
      <c r="G112" s="127"/>
      <c r="H112" s="127"/>
      <c r="I112" s="127"/>
      <c r="J112" s="128"/>
    </row>
    <row r="113" spans="1:13">
      <c r="A113" s="125" t="s">
        <v>197</v>
      </c>
      <c r="B113" s="129">
        <v>-51.205599759357632</v>
      </c>
      <c r="C113" s="127"/>
      <c r="D113" s="127"/>
      <c r="E113" s="127"/>
      <c r="F113" s="127"/>
      <c r="G113" s="127"/>
      <c r="H113" s="127"/>
      <c r="I113" s="127"/>
      <c r="J113" s="128"/>
    </row>
    <row r="114" spans="1:13">
      <c r="A114" s="125" t="s">
        <v>196</v>
      </c>
      <c r="B114" s="129">
        <v>1095.6775838417091</v>
      </c>
      <c r="C114" s="127"/>
      <c r="D114" s="127"/>
      <c r="E114" s="127"/>
      <c r="F114" s="127"/>
      <c r="G114" s="127"/>
      <c r="H114" s="127"/>
      <c r="I114" s="127"/>
      <c r="J114" s="128"/>
    </row>
    <row r="115" spans="1:13">
      <c r="A115" s="125" t="s">
        <v>195</v>
      </c>
      <c r="B115" s="129">
        <v>0</v>
      </c>
      <c r="C115" s="127"/>
      <c r="D115" s="127"/>
      <c r="E115" s="127"/>
      <c r="F115" s="127"/>
      <c r="G115" s="127"/>
      <c r="H115" s="127"/>
      <c r="I115" s="127"/>
      <c r="J115" s="128"/>
    </row>
    <row r="116" spans="1:13">
      <c r="A116" s="125"/>
      <c r="B116" s="129"/>
      <c r="C116" s="127"/>
      <c r="D116" s="127"/>
      <c r="E116" s="127"/>
      <c r="F116" s="127"/>
      <c r="G116" s="127"/>
      <c r="H116" s="127"/>
      <c r="I116" s="127"/>
      <c r="J116" s="128"/>
    </row>
    <row r="117" spans="1:13">
      <c r="A117" s="125" t="s">
        <v>194</v>
      </c>
      <c r="B117" s="129">
        <v>3441.4914868826718</v>
      </c>
      <c r="C117" s="134"/>
      <c r="D117" s="127"/>
      <c r="E117" s="127"/>
      <c r="F117" s="127"/>
      <c r="G117" s="127"/>
      <c r="H117" s="127"/>
      <c r="I117" s="127"/>
      <c r="J117" s="128"/>
    </row>
    <row r="118" spans="1:13">
      <c r="A118" s="125" t="s">
        <v>193</v>
      </c>
      <c r="B118" s="129">
        <v>1092.2901242291462</v>
      </c>
      <c r="C118" s="134"/>
      <c r="D118" s="127"/>
      <c r="E118" s="127"/>
      <c r="F118" s="127"/>
      <c r="G118" s="127"/>
      <c r="H118" s="127"/>
      <c r="I118" s="127"/>
      <c r="J118" s="128"/>
    </row>
    <row r="119" spans="1:13">
      <c r="A119" s="125"/>
      <c r="B119" s="129"/>
      <c r="C119" s="127"/>
      <c r="D119" s="127"/>
      <c r="E119" s="127"/>
      <c r="F119" s="127"/>
      <c r="G119" s="127"/>
      <c r="H119" s="127"/>
      <c r="I119" s="127"/>
      <c r="J119" s="128"/>
    </row>
    <row r="120" spans="1:13">
      <c r="A120" s="125" t="s">
        <v>192</v>
      </c>
      <c r="B120" s="130">
        <v>3.1507118947096679</v>
      </c>
      <c r="C120" s="127"/>
      <c r="D120" s="127"/>
      <c r="E120" s="127"/>
      <c r="F120" s="127"/>
      <c r="G120" s="127"/>
      <c r="H120" s="127"/>
      <c r="I120" s="127"/>
      <c r="J120" s="128"/>
    </row>
    <row r="121" spans="1:13">
      <c r="A121" s="125"/>
      <c r="B121" s="127"/>
      <c r="C121" s="127"/>
      <c r="D121" s="127"/>
      <c r="E121" s="127"/>
      <c r="F121" s="127"/>
      <c r="G121" s="127"/>
      <c r="H121" s="127"/>
      <c r="I121" s="127"/>
      <c r="J121" s="128"/>
    </row>
    <row r="122" spans="1:13">
      <c r="A122" s="131"/>
      <c r="B122" s="132"/>
      <c r="C122" s="132"/>
      <c r="D122" s="132"/>
      <c r="E122" s="132"/>
      <c r="F122" s="132"/>
      <c r="G122" s="132"/>
      <c r="H122" s="132"/>
      <c r="I122" s="132"/>
      <c r="J122" s="133"/>
    </row>
    <row r="124" spans="1:13">
      <c r="A124" s="122" t="s">
        <v>540</v>
      </c>
      <c r="B124" s="123"/>
      <c r="C124" s="123"/>
      <c r="D124" s="123"/>
      <c r="E124" s="123"/>
      <c r="F124" s="123"/>
      <c r="G124" s="123"/>
      <c r="H124" s="123"/>
      <c r="I124" s="123"/>
      <c r="J124" s="124"/>
      <c r="M124" t="s">
        <v>524</v>
      </c>
    </row>
    <row r="125" spans="1:13">
      <c r="A125" s="125" t="s">
        <v>209</v>
      </c>
      <c r="B125" s="126" t="s">
        <v>210</v>
      </c>
      <c r="C125" s="127"/>
      <c r="D125" s="127" t="s">
        <v>208</v>
      </c>
      <c r="E125" s="135" t="s">
        <v>211</v>
      </c>
      <c r="F125" s="135" t="s">
        <v>212</v>
      </c>
      <c r="G125" s="127"/>
      <c r="H125" s="127"/>
      <c r="I125" s="127"/>
      <c r="J125" s="128"/>
    </row>
    <row r="126" spans="1:13">
      <c r="A126" s="125" t="s">
        <v>207</v>
      </c>
      <c r="B126" s="129">
        <v>301.03202246850066</v>
      </c>
      <c r="C126" s="127"/>
      <c r="D126" s="127" t="s">
        <v>206</v>
      </c>
      <c r="E126" s="134">
        <v>349.51674193346713</v>
      </c>
      <c r="F126" s="136">
        <v>0.19511864059644526</v>
      </c>
      <c r="G126" s="127"/>
      <c r="H126" s="127"/>
      <c r="I126" s="127"/>
      <c r="J126" s="128"/>
    </row>
    <row r="127" spans="1:13">
      <c r="A127" s="125" t="s">
        <v>205</v>
      </c>
      <c r="B127" s="129">
        <v>1.6988040333887318</v>
      </c>
      <c r="C127" s="127"/>
      <c r="D127" s="127" t="s">
        <v>204</v>
      </c>
      <c r="E127" s="134">
        <v>1305.088498625897</v>
      </c>
      <c r="F127" s="136">
        <v>0.72856908742418569</v>
      </c>
      <c r="G127" s="127"/>
      <c r="H127" s="127"/>
      <c r="I127" s="127"/>
      <c r="J127" s="128"/>
    </row>
    <row r="128" spans="1:13">
      <c r="A128" s="125" t="s">
        <v>59</v>
      </c>
      <c r="B128" s="129">
        <v>50.964121001661937</v>
      </c>
      <c r="C128" s="127"/>
      <c r="D128" s="127" t="s">
        <v>203</v>
      </c>
      <c r="E128" s="134">
        <v>136.6984547977402</v>
      </c>
      <c r="F128" s="136">
        <v>7.6312271979369059E-2</v>
      </c>
      <c r="G128" s="127"/>
      <c r="H128" s="127"/>
      <c r="I128" s="127"/>
      <c r="J128" s="128"/>
    </row>
    <row r="129" spans="1:16">
      <c r="A129" s="125" t="s">
        <v>202</v>
      </c>
      <c r="B129" s="129">
        <v>6.3257142931751353</v>
      </c>
      <c r="C129" s="127"/>
      <c r="D129" s="127"/>
      <c r="E129" s="127"/>
      <c r="F129" s="127"/>
      <c r="G129" s="127"/>
      <c r="H129" s="127"/>
      <c r="I129" s="127"/>
      <c r="J129" s="128"/>
    </row>
    <row r="130" spans="1:16">
      <c r="A130" s="125" t="s">
        <v>61</v>
      </c>
      <c r="B130" s="129">
        <v>3.3976080667774635</v>
      </c>
      <c r="C130" s="127"/>
      <c r="D130" s="127"/>
      <c r="E130" s="127"/>
      <c r="F130" s="127"/>
      <c r="G130" s="127"/>
      <c r="H130" s="127"/>
      <c r="I130" s="127"/>
      <c r="J130" s="128"/>
    </row>
    <row r="131" spans="1:16">
      <c r="A131" s="125" t="s">
        <v>201</v>
      </c>
      <c r="B131" s="129">
        <v>11.777975105416168</v>
      </c>
      <c r="C131" s="127"/>
      <c r="D131" s="127"/>
      <c r="E131" s="127"/>
      <c r="F131" s="127"/>
      <c r="G131" s="127"/>
      <c r="H131" s="127"/>
      <c r="I131" s="127"/>
      <c r="J131" s="128"/>
      <c r="O131" s="18">
        <f>B131*1000</f>
        <v>11777.975105416168</v>
      </c>
      <c r="P131" t="s">
        <v>440</v>
      </c>
    </row>
    <row r="132" spans="1:16">
      <c r="A132" s="125" t="s">
        <v>200</v>
      </c>
      <c r="B132" s="129">
        <v>1210.7793268659764</v>
      </c>
      <c r="C132" s="127"/>
      <c r="D132" s="127"/>
      <c r="E132" s="127"/>
      <c r="F132" s="127"/>
      <c r="G132" s="127"/>
      <c r="H132" s="127"/>
      <c r="I132" s="127"/>
      <c r="J132" s="128"/>
      <c r="O132" s="10">
        <f>O131/'Assumptions + TAG factors'!E124</f>
        <v>226.02647259394664</v>
      </c>
      <c r="P132" t="s">
        <v>441</v>
      </c>
    </row>
    <row r="133" spans="1:16">
      <c r="A133" s="125" t="s">
        <v>199</v>
      </c>
      <c r="B133" s="129">
        <v>94.309171759920602</v>
      </c>
      <c r="C133" s="127"/>
      <c r="D133" s="127"/>
      <c r="E133" s="127"/>
      <c r="F133" s="127"/>
      <c r="G133" s="127"/>
      <c r="H133" s="127"/>
      <c r="I133" s="127"/>
      <c r="J133" s="128"/>
    </row>
    <row r="134" spans="1:16">
      <c r="A134" s="125" t="s">
        <v>198</v>
      </c>
      <c r="B134" s="129">
        <v>136.6984547977402</v>
      </c>
      <c r="C134" s="127"/>
      <c r="D134" s="127"/>
      <c r="E134" s="127"/>
      <c r="F134" s="127"/>
      <c r="G134" s="127"/>
      <c r="H134" s="127"/>
      <c r="I134" s="127"/>
      <c r="J134" s="128"/>
    </row>
    <row r="135" spans="1:16">
      <c r="A135" s="125"/>
      <c r="B135" s="129"/>
      <c r="C135" s="127"/>
      <c r="D135" s="127"/>
      <c r="E135" s="127"/>
      <c r="F135" s="127"/>
      <c r="G135" s="127"/>
      <c r="H135" s="127"/>
      <c r="I135" s="127"/>
      <c r="J135" s="128"/>
    </row>
    <row r="136" spans="1:16">
      <c r="A136" s="125" t="s">
        <v>197</v>
      </c>
      <c r="B136" s="129">
        <v>-25.679503035452949</v>
      </c>
      <c r="C136" s="127"/>
      <c r="D136" s="127"/>
      <c r="E136" s="127"/>
      <c r="F136" s="127"/>
      <c r="G136" s="127"/>
      <c r="H136" s="127"/>
      <c r="I136" s="127"/>
      <c r="J136" s="128"/>
    </row>
    <row r="137" spans="1:16">
      <c r="A137" s="125" t="s">
        <v>196</v>
      </c>
      <c r="B137" s="129">
        <v>1095.6775838417091</v>
      </c>
      <c r="C137" s="127"/>
      <c r="D137" s="127"/>
      <c r="E137" s="127"/>
      <c r="F137" s="127"/>
      <c r="G137" s="127"/>
      <c r="H137" s="127"/>
      <c r="I137" s="127"/>
      <c r="J137" s="128"/>
    </row>
    <row r="138" spans="1:16">
      <c r="A138" s="125" t="s">
        <v>195</v>
      </c>
      <c r="B138" s="129">
        <v>0</v>
      </c>
      <c r="C138" s="127"/>
      <c r="D138" s="127"/>
      <c r="E138" s="127"/>
      <c r="F138" s="127"/>
      <c r="G138" s="127"/>
      <c r="H138" s="127"/>
      <c r="I138" s="127"/>
      <c r="J138" s="128"/>
    </row>
    <row r="139" spans="1:16">
      <c r="A139" s="125"/>
      <c r="B139" s="129"/>
      <c r="C139" s="127"/>
      <c r="D139" s="127"/>
      <c r="E139" s="127"/>
      <c r="F139" s="127"/>
      <c r="G139" s="127"/>
      <c r="H139" s="127"/>
      <c r="I139" s="127"/>
      <c r="J139" s="128"/>
    </row>
    <row r="140" spans="1:16">
      <c r="A140" s="125" t="s">
        <v>194</v>
      </c>
      <c r="B140" s="129">
        <v>1789.6048913237157</v>
      </c>
      <c r="C140" s="127"/>
      <c r="D140" s="127"/>
      <c r="E140" s="127"/>
      <c r="F140" s="127"/>
      <c r="G140" s="127"/>
      <c r="H140" s="127"/>
      <c r="I140" s="127"/>
      <c r="J140" s="128"/>
    </row>
    <row r="141" spans="1:16">
      <c r="A141" s="125" t="s">
        <v>193</v>
      </c>
      <c r="B141" s="129">
        <v>1093.9787798083203</v>
      </c>
      <c r="C141" s="127"/>
      <c r="D141" s="127"/>
      <c r="E141" s="127"/>
      <c r="F141" s="127"/>
      <c r="G141" s="127"/>
      <c r="H141" s="127"/>
      <c r="I141" s="127"/>
      <c r="J141" s="128"/>
    </row>
    <row r="142" spans="1:16">
      <c r="A142" s="125"/>
      <c r="B142" s="129"/>
      <c r="C142" s="127"/>
      <c r="D142" s="127"/>
      <c r="E142" s="127"/>
      <c r="F142" s="127"/>
      <c r="G142" s="127"/>
      <c r="H142" s="127"/>
      <c r="I142" s="127"/>
      <c r="J142" s="128"/>
    </row>
    <row r="143" spans="1:16">
      <c r="A143" s="125" t="s">
        <v>192</v>
      </c>
      <c r="B143" s="130">
        <v>1.6358680116604076</v>
      </c>
      <c r="C143" s="127"/>
      <c r="D143" s="127"/>
      <c r="E143" s="127"/>
      <c r="F143" s="127"/>
      <c r="G143" s="127"/>
      <c r="H143" s="127"/>
      <c r="I143" s="127"/>
      <c r="J143" s="128"/>
    </row>
    <row r="144" spans="1:16">
      <c r="A144" s="125"/>
      <c r="B144" s="127"/>
      <c r="C144" s="127"/>
      <c r="D144" s="127"/>
      <c r="E144" s="127"/>
      <c r="F144" s="127"/>
      <c r="G144" s="127"/>
      <c r="H144" s="127"/>
      <c r="I144" s="127"/>
      <c r="J144" s="128"/>
    </row>
    <row r="145" spans="1:10">
      <c r="A145" s="131"/>
      <c r="B145" s="132"/>
      <c r="C145" s="132"/>
      <c r="D145" s="132"/>
      <c r="E145" s="132"/>
      <c r="F145" s="132"/>
      <c r="G145" s="132"/>
      <c r="H145" s="132"/>
      <c r="I145" s="132"/>
      <c r="J145" s="133"/>
    </row>
  </sheetData>
  <hyperlinks>
    <hyperlink ref="E15" r:id="rId1" xr:uid="{CA6F6F63-62D7-499B-98C5-49C701B6BAA1}"/>
  </hyperlinks>
  <pageMargins left="0.7" right="0.7" top="0.75" bottom="0.75" header="0.3" footer="0.3"/>
  <pageSetup paperSize="9" orientation="portrait" horizontalDpi="300"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001F5-623B-4499-B114-430C2C38143E}">
  <dimension ref="A1:T85"/>
  <sheetViews>
    <sheetView topLeftCell="C58" workbookViewId="0">
      <selection activeCell="K83" sqref="K83"/>
    </sheetView>
  </sheetViews>
  <sheetFormatPr defaultRowHeight="14.4"/>
  <cols>
    <col min="2" max="3" width="26.5546875" bestFit="1" customWidth="1"/>
    <col min="4" max="4" width="19.77734375" customWidth="1"/>
    <col min="5" max="5" width="24.33203125" bestFit="1" customWidth="1"/>
    <col min="6" max="6" width="19.77734375" customWidth="1"/>
    <col min="7" max="7" width="18.109375" customWidth="1"/>
    <col min="8" max="8" width="12.77734375" bestFit="1" customWidth="1"/>
    <col min="9" max="9" width="24" customWidth="1"/>
    <col min="10" max="10" width="17.77734375" customWidth="1"/>
    <col min="11" max="11" width="16" customWidth="1"/>
    <col min="12" max="12" width="14.88671875" customWidth="1"/>
    <col min="16" max="16" width="10.88671875" customWidth="1"/>
  </cols>
  <sheetData>
    <row r="1" spans="1:20">
      <c r="A1" s="119" t="s">
        <v>372</v>
      </c>
      <c r="B1" s="120"/>
      <c r="C1" s="120"/>
      <c r="D1" s="120"/>
      <c r="E1" s="120"/>
      <c r="F1" s="120"/>
      <c r="G1" s="120"/>
      <c r="H1" s="120"/>
      <c r="I1" s="120"/>
      <c r="J1" s="120"/>
      <c r="K1" s="120"/>
      <c r="L1" s="120"/>
      <c r="M1" s="120"/>
      <c r="N1" s="120"/>
      <c r="O1" s="120"/>
      <c r="P1" s="120"/>
      <c r="Q1" s="120"/>
      <c r="R1" s="120"/>
      <c r="S1" s="120"/>
      <c r="T1" s="120"/>
    </row>
    <row r="3" spans="1:20">
      <c r="A3" t="s">
        <v>377</v>
      </c>
      <c r="H3" s="9">
        <v>9421991</v>
      </c>
      <c r="I3" t="s">
        <v>374</v>
      </c>
    </row>
    <row r="4" spans="1:20">
      <c r="A4" t="s">
        <v>378</v>
      </c>
      <c r="H4" s="9">
        <v>3566690</v>
      </c>
      <c r="I4" t="s">
        <v>374</v>
      </c>
    </row>
    <row r="5" spans="1:20">
      <c r="A5" t="s">
        <v>373</v>
      </c>
      <c r="H5" s="251">
        <f>SUM(H3-H4)</f>
        <v>5855301</v>
      </c>
      <c r="I5" t="s">
        <v>374</v>
      </c>
    </row>
    <row r="6" spans="1:20">
      <c r="A6" t="s">
        <v>411</v>
      </c>
      <c r="H6" s="259">
        <v>0.152</v>
      </c>
      <c r="I6" t="s">
        <v>412</v>
      </c>
    </row>
    <row r="7" spans="1:20">
      <c r="A7" t="s">
        <v>398</v>
      </c>
      <c r="H7" s="252">
        <f>H5*H6</f>
        <v>890005.75199999998</v>
      </c>
      <c r="I7" t="s">
        <v>380</v>
      </c>
    </row>
    <row r="8" spans="1:20">
      <c r="H8" s="251"/>
    </row>
    <row r="9" spans="1:20">
      <c r="A9" t="s">
        <v>379</v>
      </c>
      <c r="H9" s="253">
        <v>0.21232999999999999</v>
      </c>
      <c r="I9" t="s">
        <v>381</v>
      </c>
      <c r="N9" t="s">
        <v>395</v>
      </c>
      <c r="R9" s="25" t="s">
        <v>396</v>
      </c>
    </row>
    <row r="10" spans="1:20">
      <c r="A10" t="s">
        <v>375</v>
      </c>
      <c r="H10" s="254">
        <f>SUM(H5*H9)/1000</f>
        <v>1243.25606133</v>
      </c>
      <c r="I10" t="s">
        <v>382</v>
      </c>
    </row>
    <row r="11" spans="1:20">
      <c r="H11" s="254"/>
    </row>
    <row r="12" spans="1:20">
      <c r="A12" s="258" t="s">
        <v>390</v>
      </c>
      <c r="B12" s="99"/>
      <c r="C12" s="99"/>
      <c r="D12" s="99"/>
      <c r="E12" s="99"/>
      <c r="F12" s="99"/>
      <c r="H12" s="254"/>
    </row>
    <row r="13" spans="1:20">
      <c r="A13" t="s">
        <v>389</v>
      </c>
      <c r="H13" s="254"/>
    </row>
    <row r="14" spans="1:20">
      <c r="B14" t="s">
        <v>76</v>
      </c>
      <c r="D14" t="s">
        <v>388</v>
      </c>
      <c r="E14" t="s">
        <v>387</v>
      </c>
      <c r="F14" t="s">
        <v>386</v>
      </c>
      <c r="H14" s="254" t="s">
        <v>149</v>
      </c>
      <c r="I14" t="s">
        <v>397</v>
      </c>
    </row>
    <row r="15" spans="1:20">
      <c r="B15">
        <v>2022</v>
      </c>
      <c r="D15">
        <v>31.265298184540889</v>
      </c>
      <c r="E15">
        <v>62.530596369081778</v>
      </c>
      <c r="F15">
        <v>92.92741404849653</v>
      </c>
      <c r="H15" s="254"/>
    </row>
    <row r="16" spans="1:20">
      <c r="B16">
        <v>2023</v>
      </c>
      <c r="D16">
        <v>31.265298184540889</v>
      </c>
      <c r="E16">
        <v>63.399076874207914</v>
      </c>
      <c r="F16">
        <v>94.664375058748803</v>
      </c>
      <c r="H16" s="254"/>
    </row>
    <row r="17" spans="2:8">
      <c r="B17">
        <v>2024</v>
      </c>
      <c r="D17">
        <v>32.133778689667025</v>
      </c>
      <c r="E17">
        <v>64.26755737933405</v>
      </c>
      <c r="F17">
        <v>96.401336069001076</v>
      </c>
      <c r="H17" s="254"/>
    </row>
    <row r="18" spans="2:8">
      <c r="B18">
        <v>2025</v>
      </c>
      <c r="D18">
        <v>33.002259194793162</v>
      </c>
      <c r="E18">
        <v>65.13603788446018</v>
      </c>
      <c r="F18">
        <v>98.138297079253348</v>
      </c>
      <c r="H18" s="254"/>
    </row>
    <row r="19" spans="2:8">
      <c r="B19">
        <v>2026</v>
      </c>
      <c r="D19">
        <v>33.002259194793162</v>
      </c>
      <c r="E19">
        <v>66.004518389586323</v>
      </c>
      <c r="F19">
        <v>99.006777584379478</v>
      </c>
      <c r="H19" s="254"/>
    </row>
    <row r="20" spans="2:8">
      <c r="B20">
        <v>2027</v>
      </c>
      <c r="D20">
        <v>33.870739699919298</v>
      </c>
      <c r="E20">
        <v>66.872998894712453</v>
      </c>
      <c r="F20">
        <v>100.74373859463175</v>
      </c>
      <c r="H20" s="254"/>
    </row>
    <row r="21" spans="2:8">
      <c r="B21">
        <v>2028</v>
      </c>
      <c r="D21">
        <v>33.870739699919298</v>
      </c>
      <c r="E21">
        <v>68.609959904964725</v>
      </c>
      <c r="F21">
        <v>102.48069960488402</v>
      </c>
      <c r="H21" s="254"/>
    </row>
    <row r="22" spans="2:8">
      <c r="B22">
        <v>2029</v>
      </c>
      <c r="D22">
        <v>34.739220205045434</v>
      </c>
      <c r="E22">
        <v>69.478440410090869</v>
      </c>
      <c r="F22">
        <v>104.2176606151363</v>
      </c>
      <c r="H22" s="254"/>
    </row>
    <row r="23" spans="2:8">
      <c r="B23">
        <v>2030</v>
      </c>
      <c r="D23">
        <v>34.739220205045434</v>
      </c>
      <c r="E23">
        <v>70.346920915216998</v>
      </c>
      <c r="F23">
        <v>105.08614112026244</v>
      </c>
      <c r="H23" s="254"/>
    </row>
    <row r="24" spans="2:8">
      <c r="B24">
        <v>2031</v>
      </c>
      <c r="D24">
        <v>38.213142225549973</v>
      </c>
      <c r="E24">
        <v>76.426284451099946</v>
      </c>
      <c r="F24">
        <v>114.63942667664993</v>
      </c>
      <c r="H24" s="254"/>
    </row>
    <row r="25" spans="2:8">
      <c r="B25">
        <v>2032</v>
      </c>
      <c r="D25">
        <v>41.687064246054518</v>
      </c>
      <c r="E25">
        <v>83.374128492109037</v>
      </c>
      <c r="F25">
        <v>125.06119273816356</v>
      </c>
      <c r="H25" s="254"/>
    </row>
    <row r="26" spans="2:8">
      <c r="B26">
        <v>2033</v>
      </c>
      <c r="D26">
        <v>45.160986266559064</v>
      </c>
      <c r="E26">
        <v>89.453492027991985</v>
      </c>
      <c r="F26">
        <v>134.61447829455105</v>
      </c>
      <c r="H26" s="254"/>
    </row>
    <row r="27" spans="2:8">
      <c r="B27">
        <v>2034</v>
      </c>
      <c r="D27">
        <v>47.766427781937473</v>
      </c>
      <c r="E27">
        <v>96.401336069001076</v>
      </c>
      <c r="F27">
        <v>144.16776385093854</v>
      </c>
      <c r="H27" s="254"/>
    </row>
    <row r="28" spans="2:8">
      <c r="B28">
        <v>2035</v>
      </c>
      <c r="D28">
        <v>51.240349802442012</v>
      </c>
      <c r="E28">
        <v>102.48069960488402</v>
      </c>
      <c r="F28">
        <v>154.58952991245218</v>
      </c>
      <c r="H28" s="254"/>
    </row>
    <row r="29" spans="2:8">
      <c r="B29">
        <v>2036</v>
      </c>
      <c r="D29">
        <v>54.714271822946557</v>
      </c>
      <c r="E29">
        <v>109.42854364589311</v>
      </c>
      <c r="F29">
        <v>164.14281546883967</v>
      </c>
      <c r="H29" s="254"/>
    </row>
    <row r="30" spans="2:8">
      <c r="B30">
        <v>2037</v>
      </c>
      <c r="D30">
        <v>58.188193843451103</v>
      </c>
      <c r="E30">
        <v>115.50790718177606</v>
      </c>
      <c r="F30">
        <v>173.69610102522716</v>
      </c>
      <c r="H30" s="254"/>
    </row>
    <row r="31" spans="2:8">
      <c r="B31">
        <v>2038</v>
      </c>
      <c r="D31">
        <v>60.793635358829505</v>
      </c>
      <c r="E31">
        <v>122.45575122278515</v>
      </c>
      <c r="F31">
        <v>183.24938658161466</v>
      </c>
      <c r="H31" s="254"/>
    </row>
    <row r="32" spans="2:8">
      <c r="B32">
        <v>2039</v>
      </c>
      <c r="D32">
        <v>64.26755737933405</v>
      </c>
      <c r="E32">
        <v>128.5351147586681</v>
      </c>
      <c r="F32">
        <v>193.67115264312829</v>
      </c>
      <c r="H32" s="254"/>
    </row>
    <row r="33" spans="1:20">
      <c r="B33">
        <v>2040</v>
      </c>
      <c r="D33">
        <v>67.741479399838596</v>
      </c>
      <c r="E33">
        <v>135.48295879967719</v>
      </c>
      <c r="F33">
        <v>203.22443819951579</v>
      </c>
      <c r="H33" s="254"/>
    </row>
    <row r="34" spans="1:20">
      <c r="B34">
        <v>2041</v>
      </c>
      <c r="D34">
        <v>71.215401420343142</v>
      </c>
      <c r="E34">
        <v>141.56232233556014</v>
      </c>
      <c r="F34">
        <v>212.77772375590328</v>
      </c>
      <c r="H34" s="254"/>
    </row>
    <row r="35" spans="1:20">
      <c r="H35" s="254"/>
    </row>
    <row r="36" spans="1:20">
      <c r="A36" t="s">
        <v>399</v>
      </c>
      <c r="C36" s="18">
        <v>7000000</v>
      </c>
      <c r="D36" t="s">
        <v>401</v>
      </c>
      <c r="H36" s="252"/>
    </row>
    <row r="37" spans="1:20">
      <c r="A37" t="s">
        <v>402</v>
      </c>
      <c r="C37" s="5">
        <v>0.03</v>
      </c>
      <c r="D37" t="s">
        <v>403</v>
      </c>
      <c r="F37" s="25" t="s">
        <v>404</v>
      </c>
      <c r="H37" s="252"/>
    </row>
    <row r="38" spans="1:20">
      <c r="A38" t="s">
        <v>405</v>
      </c>
      <c r="C38" s="18">
        <f>C36+(C36*C37)</f>
        <v>7210000</v>
      </c>
      <c r="D38" t="s">
        <v>380</v>
      </c>
      <c r="F38" s="25"/>
      <c r="H38" s="252"/>
    </row>
    <row r="39" spans="1:20">
      <c r="A39" t="s">
        <v>406</v>
      </c>
      <c r="C39" s="18">
        <f>C38/'Assumptions + TAG factors'!C87*'Assumptions + TAG factors'!C83</f>
        <v>5815639.5825176621</v>
      </c>
      <c r="D39" t="s">
        <v>407</v>
      </c>
      <c r="F39" s="25"/>
      <c r="H39" s="252"/>
    </row>
    <row r="41" spans="1:20">
      <c r="A41" s="15" t="s">
        <v>376</v>
      </c>
      <c r="B41" s="15"/>
      <c r="C41" s="15"/>
      <c r="D41" s="274">
        <v>12</v>
      </c>
      <c r="E41" s="15" t="s">
        <v>128</v>
      </c>
      <c r="F41" s="15"/>
      <c r="G41" s="15"/>
      <c r="H41" s="15"/>
      <c r="I41" s="15"/>
      <c r="J41" s="15"/>
      <c r="K41" s="15"/>
      <c r="L41" s="15"/>
      <c r="M41" s="15"/>
      <c r="N41" s="15"/>
      <c r="O41" s="15"/>
      <c r="P41" s="15"/>
      <c r="Q41" s="15"/>
      <c r="R41" s="15"/>
      <c r="S41" s="15"/>
      <c r="T41" s="15"/>
    </row>
    <row r="43" spans="1:20" ht="57.6">
      <c r="A43" s="1" t="s">
        <v>76</v>
      </c>
      <c r="B43" s="1" t="s">
        <v>385</v>
      </c>
      <c r="C43" s="1" t="s">
        <v>419</v>
      </c>
      <c r="D43" s="257" t="s">
        <v>27</v>
      </c>
      <c r="E43" s="1" t="s">
        <v>384</v>
      </c>
      <c r="F43" s="257" t="s">
        <v>422</v>
      </c>
      <c r="G43" s="257" t="s">
        <v>421</v>
      </c>
      <c r="H43" s="257" t="s">
        <v>27</v>
      </c>
      <c r="I43" s="1" t="s">
        <v>394</v>
      </c>
      <c r="J43" s="1" t="s">
        <v>392</v>
      </c>
      <c r="K43" s="257" t="s">
        <v>27</v>
      </c>
    </row>
    <row r="44" spans="1:20">
      <c r="A44">
        <v>2022</v>
      </c>
      <c r="B44" s="252">
        <f>H7</f>
        <v>890005.75199999998</v>
      </c>
      <c r="C44" s="252">
        <f>B44/'Assumptions + TAG factors'!C85*'Assumptions + TAG factors'!$C$83</f>
        <v>715407.09358989599</v>
      </c>
      <c r="D44" s="252">
        <f>C44*'Assumptions + TAG factors'!C51</f>
        <v>715407.09358989599</v>
      </c>
      <c r="E44" s="14">
        <f>H10</f>
        <v>1243.25606133</v>
      </c>
      <c r="F44" s="18">
        <f t="shared" ref="F44:F55" si="0">E44*E15</f>
        <v>77741.542954440607</v>
      </c>
      <c r="G44" s="18">
        <f>F44/'Assumptions + TAG factors'!C87*'Assumptions + TAG factors'!$C$83</f>
        <v>62706.906298452421</v>
      </c>
      <c r="H44" s="18">
        <f>G44*'Assumptions + TAG factors'!C51</f>
        <v>62706.906298452421</v>
      </c>
      <c r="I44" s="252">
        <f>SUM(B44+F44)</f>
        <v>967747.29495444056</v>
      </c>
      <c r="J44" s="252">
        <f t="shared" ref="J44:K44" si="1">SUM(C44+G44)</f>
        <v>778113.99988834839</v>
      </c>
      <c r="K44" s="252">
        <f t="shared" si="1"/>
        <v>778113.99988834839</v>
      </c>
    </row>
    <row r="45" spans="1:20">
      <c r="A45">
        <v>2023</v>
      </c>
      <c r="B45" s="252">
        <f>B44</f>
        <v>890005.75199999998</v>
      </c>
      <c r="C45" s="252">
        <f>B45/'Assumptions + TAG factors'!C86*'Assumptions + TAG factors'!$C$83</f>
        <v>707823.29959776462</v>
      </c>
      <c r="D45" s="252">
        <f>C45*'Assumptions + TAG factors'!C52</f>
        <v>683049.48411184282</v>
      </c>
      <c r="E45" s="14">
        <f>E44</f>
        <v>1243.25606133</v>
      </c>
      <c r="F45" s="18">
        <f t="shared" si="0"/>
        <v>78821.286606585621</v>
      </c>
      <c r="G45" s="18">
        <f>F45/'Assumptions + TAG factors'!C88*'Assumptions + TAG factors'!$C$83</f>
        <v>62484.704693558342</v>
      </c>
      <c r="H45" s="18">
        <f>G45*'Assumptions + TAG factors'!C52</f>
        <v>60297.740029283799</v>
      </c>
      <c r="I45" s="252">
        <f t="shared" ref="I45:I55" si="2">SUM(B45+F45)</f>
        <v>968827.03860658559</v>
      </c>
      <c r="J45" s="252">
        <f t="shared" ref="J45:J55" si="3">SUM(C45+G45)</f>
        <v>770308.00429132301</v>
      </c>
      <c r="K45" s="252">
        <f t="shared" ref="K45:K55" si="4">SUM(D45+H45)</f>
        <v>743347.22414112661</v>
      </c>
    </row>
    <row r="46" spans="1:20">
      <c r="A46">
        <v>2024</v>
      </c>
      <c r="B46" s="252">
        <f t="shared" ref="B46:B55" si="5">B45</f>
        <v>890005.75199999998</v>
      </c>
      <c r="C46" s="252">
        <f>B46/'Assumptions + TAG factors'!C87*'Assumptions + TAG factors'!$C$83</f>
        <v>717885.25381409121</v>
      </c>
      <c r="D46" s="252">
        <f>C46*'Assumptions + TAG factors'!C53</f>
        <v>668512.69548302703</v>
      </c>
      <c r="E46" s="14">
        <f t="shared" ref="E46:E55" si="6">E45</f>
        <v>1243.25606133</v>
      </c>
      <c r="F46" s="18">
        <f t="shared" si="0"/>
        <v>79901.030258730621</v>
      </c>
      <c r="G46" s="18">
        <f>F46/'Assumptions + TAG factors'!C89*'Assumptions + TAG factors'!$C$83</f>
        <v>62010.221048951731</v>
      </c>
      <c r="H46" s="18">
        <f>G46*'Assumptions + TAG factors'!C53</f>
        <v>57745.468096310076</v>
      </c>
      <c r="I46" s="252">
        <f t="shared" si="2"/>
        <v>969906.78225873061</v>
      </c>
      <c r="J46" s="252">
        <f t="shared" si="3"/>
        <v>779895.47486304294</v>
      </c>
      <c r="K46" s="252">
        <f t="shared" si="4"/>
        <v>726258.16357933707</v>
      </c>
    </row>
    <row r="47" spans="1:20">
      <c r="A47">
        <v>2025</v>
      </c>
      <c r="B47" s="252">
        <f t="shared" si="5"/>
        <v>890005.75199999998</v>
      </c>
      <c r="C47" s="252">
        <f>B47/'Assumptions + TAG factors'!C88*'Assumptions + TAG factors'!$C$83</f>
        <v>705542.23336722201</v>
      </c>
      <c r="D47" s="252">
        <f>C47*'Assumptions + TAG factors'!C54</f>
        <v>634022.9164480326</v>
      </c>
      <c r="E47" s="14">
        <f t="shared" si="6"/>
        <v>1243.25606133</v>
      </c>
      <c r="F47" s="18">
        <f t="shared" si="0"/>
        <v>80980.773910875621</v>
      </c>
      <c r="G47" s="18">
        <f>F47/'Assumptions + TAG factors'!C90*'Assumptions + TAG factors'!$C$83</f>
        <v>61537.63857962464</v>
      </c>
      <c r="H47" s="18">
        <f>G47*'Assumptions + TAG factors'!C54</f>
        <v>55299.698924290067</v>
      </c>
      <c r="I47" s="252">
        <f t="shared" si="2"/>
        <v>970986.52591087564</v>
      </c>
      <c r="J47" s="252">
        <f t="shared" si="3"/>
        <v>767079.8719468466</v>
      </c>
      <c r="K47" s="252">
        <f t="shared" si="4"/>
        <v>689322.61537232262</v>
      </c>
    </row>
    <row r="48" spans="1:20">
      <c r="A48">
        <v>2026</v>
      </c>
      <c r="B48" s="252">
        <f t="shared" si="5"/>
        <v>890005.75199999998</v>
      </c>
      <c r="C48" s="252">
        <f>B48/'Assumptions + TAG factors'!C89*'Assumptions + TAG factors'!$C$83</f>
        <v>690722.67576084333</v>
      </c>
      <c r="D48" s="252">
        <f>C48*'Assumptions + TAG factors'!C55</f>
        <v>598980.89039798966</v>
      </c>
      <c r="E48" s="14">
        <f t="shared" si="6"/>
        <v>1243.25606133</v>
      </c>
      <c r="F48" s="18">
        <f t="shared" si="0"/>
        <v>82060.51756302065</v>
      </c>
      <c r="G48" s="18">
        <f>F48/'Assumptions + TAG factors'!C91*'Assumptions + TAG factors'!$C$83</f>
        <v>60956.149000345053</v>
      </c>
      <c r="H48" s="18">
        <f>G48*'Assumptions + TAG factors'!C55</f>
        <v>52859.953328216812</v>
      </c>
      <c r="I48" s="252">
        <f t="shared" si="2"/>
        <v>972066.26956302067</v>
      </c>
      <c r="J48" s="252">
        <f t="shared" si="3"/>
        <v>751678.82476118836</v>
      </c>
      <c r="K48" s="252">
        <f t="shared" si="4"/>
        <v>651840.84372620645</v>
      </c>
    </row>
    <row r="49" spans="1:20">
      <c r="A49">
        <v>2027</v>
      </c>
      <c r="B49" s="252">
        <f t="shared" si="5"/>
        <v>890005.75199999998</v>
      </c>
      <c r="C49" s="252">
        <f>B49/'Assumptions + TAG factors'!C90*'Assumptions + TAG factors'!$C$83</f>
        <v>676319.20090859546</v>
      </c>
      <c r="D49" s="252">
        <f>C49*'Assumptions + TAG factors'!C56</f>
        <v>565963.31808928365</v>
      </c>
      <c r="E49" s="14">
        <f t="shared" si="6"/>
        <v>1243.25606133</v>
      </c>
      <c r="F49" s="18">
        <f t="shared" si="0"/>
        <v>83140.26121516565</v>
      </c>
      <c r="G49" s="18">
        <f>F49/'Assumptions + TAG factors'!C92*'Assumptions + TAG factors'!$C$83</f>
        <v>60369.70048138305</v>
      </c>
      <c r="H49" s="18">
        <f>G49*'Assumptions + TAG factors'!C56</f>
        <v>50519.098009635622</v>
      </c>
      <c r="I49" s="252">
        <f t="shared" si="2"/>
        <v>973146.01321516559</v>
      </c>
      <c r="J49" s="252">
        <f t="shared" si="3"/>
        <v>736688.90138997848</v>
      </c>
      <c r="K49" s="252">
        <f t="shared" si="4"/>
        <v>616482.41609891923</v>
      </c>
    </row>
    <row r="50" spans="1:20">
      <c r="A50">
        <v>2028</v>
      </c>
      <c r="B50" s="252">
        <f t="shared" si="5"/>
        <v>890005.75199999998</v>
      </c>
      <c r="C50" s="252">
        <f>B50/'Assumptions + TAG factors'!C91*'Assumptions + TAG factors'!$C$83</f>
        <v>661113.58837594884</v>
      </c>
      <c r="D50" s="252">
        <f>C50*'Assumptions + TAG factors'!C57</f>
        <v>533875.46623280435</v>
      </c>
      <c r="E50" s="14">
        <f t="shared" si="6"/>
        <v>1243.25606133</v>
      </c>
      <c r="F50" s="18">
        <f t="shared" si="0"/>
        <v>85299.748519455665</v>
      </c>
      <c r="G50" s="18">
        <f>F50/'Assumptions + TAG factors'!C93*'Assumptions + TAG factors'!$C$83</f>
        <v>60545.204936198119</v>
      </c>
      <c r="H50" s="18">
        <f>G50*'Assumptions + TAG factors'!C57</f>
        <v>48892.656393400772</v>
      </c>
      <c r="I50" s="252">
        <f t="shared" si="2"/>
        <v>975305.50051945564</v>
      </c>
      <c r="J50" s="252">
        <f t="shared" si="3"/>
        <v>721658.79331214691</v>
      </c>
      <c r="K50" s="252">
        <f t="shared" si="4"/>
        <v>582768.12262620509</v>
      </c>
    </row>
    <row r="51" spans="1:20">
      <c r="A51">
        <v>2029</v>
      </c>
      <c r="B51" s="252">
        <f t="shared" si="5"/>
        <v>890005.75199999998</v>
      </c>
      <c r="C51" s="252">
        <f>B51/'Assumptions + TAG factors'!C92*'Assumptions + TAG factors'!$C$83</f>
        <v>646249.84200972517</v>
      </c>
      <c r="D51" s="252">
        <f>C51*'Assumptions + TAG factors'!C58</f>
        <v>503606.86697424849</v>
      </c>
      <c r="E51" s="14">
        <f t="shared" si="6"/>
        <v>1243.25606133</v>
      </c>
      <c r="F51" s="18">
        <f t="shared" si="0"/>
        <v>86379.492171600679</v>
      </c>
      <c r="G51" s="18">
        <f>F51/'Assumptions + TAG factors'!C94*'Assumptions + TAG factors'!$C$83</f>
        <v>59933.13776675515</v>
      </c>
      <c r="H51" s="18">
        <f>G51*'Assumptions + TAG factors'!C58</f>
        <v>46704.444282397766</v>
      </c>
      <c r="I51" s="252">
        <f t="shared" si="2"/>
        <v>976385.24417160067</v>
      </c>
      <c r="J51" s="252">
        <f t="shared" si="3"/>
        <v>706182.97977648035</v>
      </c>
      <c r="K51" s="252">
        <f t="shared" si="4"/>
        <v>550311.3112566463</v>
      </c>
    </row>
    <row r="52" spans="1:20">
      <c r="A52">
        <v>2030</v>
      </c>
      <c r="B52" s="252">
        <f t="shared" si="5"/>
        <v>890005.75199999998</v>
      </c>
      <c r="C52" s="252">
        <f>B52/'Assumptions + TAG factors'!C93*'Assumptions + TAG factors'!$C$83</f>
        <v>631720.27566933073</v>
      </c>
      <c r="D52" s="252">
        <f>C52*'Assumptions + TAG factors'!C59</f>
        <v>475054.37598255125</v>
      </c>
      <c r="E52" s="14">
        <f t="shared" si="6"/>
        <v>1243.25606133</v>
      </c>
      <c r="F52" s="18">
        <f t="shared" si="0"/>
        <v>87459.235823745679</v>
      </c>
      <c r="G52" s="18">
        <f>F52/'Assumptions + TAG factors'!C95*'Assumptions + TAG factors'!$C$83</f>
        <v>59317.988258885212</v>
      </c>
      <c r="H52" s="18">
        <f>G52*'Assumptions + TAG factors'!C59</f>
        <v>44607.195593030556</v>
      </c>
      <c r="I52" s="252">
        <f t="shared" si="2"/>
        <v>977464.9878237457</v>
      </c>
      <c r="J52" s="252">
        <f t="shared" si="3"/>
        <v>691038.26392821595</v>
      </c>
      <c r="K52" s="252">
        <f t="shared" si="4"/>
        <v>519661.57157558179</v>
      </c>
    </row>
    <row r="53" spans="1:20">
      <c r="A53">
        <v>2031</v>
      </c>
      <c r="B53" s="252">
        <f t="shared" si="5"/>
        <v>890005.75199999998</v>
      </c>
      <c r="C53" s="252">
        <f>B53/'Assumptions + TAG factors'!C94*'Assumptions + TAG factors'!$C$83</f>
        <v>617517.3760208512</v>
      </c>
      <c r="D53" s="252">
        <f>C53*'Assumptions + TAG factors'!C60</f>
        <v>448120.69679683476</v>
      </c>
      <c r="E53" s="14">
        <f t="shared" si="6"/>
        <v>1243.25606133</v>
      </c>
      <c r="F53" s="18">
        <f t="shared" si="0"/>
        <v>95017.441388760737</v>
      </c>
      <c r="G53" s="18">
        <f>F53/'Assumptions + TAG factors'!C96*'Assumptions + TAG factors'!$C$83</f>
        <v>62995.341307723582</v>
      </c>
      <c r="H53" s="18">
        <f>G53*'Assumptions + TAG factors'!C60</f>
        <v>45714.529401061445</v>
      </c>
      <c r="I53" s="252">
        <f t="shared" si="2"/>
        <v>985023.19338876067</v>
      </c>
      <c r="J53" s="252">
        <f t="shared" si="3"/>
        <v>680512.71732857474</v>
      </c>
      <c r="K53" s="252">
        <f t="shared" si="4"/>
        <v>493835.22619789618</v>
      </c>
    </row>
    <row r="54" spans="1:20">
      <c r="A54">
        <v>2032</v>
      </c>
      <c r="B54" s="252">
        <f t="shared" si="5"/>
        <v>890005.75199999998</v>
      </c>
      <c r="C54" s="252">
        <f>B54/'Assumptions + TAG factors'!C95*'Assumptions + TAG factors'!$C$83</f>
        <v>603633.79865185847</v>
      </c>
      <c r="D54" s="252">
        <f>C54*'Assumptions + TAG factors'!C61</f>
        <v>422714.04927560658</v>
      </c>
      <c r="E54" s="14">
        <f t="shared" si="6"/>
        <v>1243.25606133</v>
      </c>
      <c r="F54" s="18">
        <f t="shared" si="0"/>
        <v>103655.39060592081</v>
      </c>
      <c r="G54" s="18">
        <f>F54/'Assumptions + TAG factors'!C97*'Assumptions + TAG factors'!$C$83</f>
        <v>67177.116830417057</v>
      </c>
      <c r="H54" s="18">
        <f>G54*'Assumptions + TAG factors'!C61</f>
        <v>47042.944145053909</v>
      </c>
      <c r="I54" s="252">
        <f t="shared" si="2"/>
        <v>993661.14260592079</v>
      </c>
      <c r="J54" s="252">
        <f t="shared" si="3"/>
        <v>670810.91548227554</v>
      </c>
      <c r="K54" s="252">
        <f t="shared" si="4"/>
        <v>469756.9934206605</v>
      </c>
    </row>
    <row r="55" spans="1:20">
      <c r="A55">
        <v>2033</v>
      </c>
      <c r="B55" s="252">
        <f t="shared" si="5"/>
        <v>890005.75199999998</v>
      </c>
      <c r="C55" s="252">
        <f>B55/'Assumptions + TAG factors'!C96*'Assumptions + TAG factors'!$C$83</f>
        <v>590062.36427356652</v>
      </c>
      <c r="D55" s="252">
        <f>C55*'Assumptions + TAG factors'!C62</f>
        <v>398747.85684355861</v>
      </c>
      <c r="E55" s="14">
        <f t="shared" si="6"/>
        <v>1243.25606133</v>
      </c>
      <c r="F55" s="18">
        <f t="shared" si="0"/>
        <v>111213.59617093587</v>
      </c>
      <c r="G55" s="18">
        <f>F55/'Assumptions + TAG factors'!C98*'Assumptions + TAG factors'!$C$83</f>
        <v>70454.983642197752</v>
      </c>
      <c r="H55" s="18">
        <f>G55*'Assumptions + TAG factors'!C62</f>
        <v>47611.533004415462</v>
      </c>
      <c r="I55" s="252">
        <f t="shared" si="2"/>
        <v>1001219.3481709359</v>
      </c>
      <c r="J55" s="252">
        <f t="shared" si="3"/>
        <v>660517.34791576432</v>
      </c>
      <c r="K55" s="252">
        <f t="shared" si="4"/>
        <v>446359.38984797406</v>
      </c>
    </row>
    <row r="56" spans="1:20">
      <c r="A56" s="22" t="s">
        <v>26</v>
      </c>
      <c r="B56" s="252">
        <f t="shared" ref="B56:K56" si="7">SUM(B44:B55)</f>
        <v>10680069.024000002</v>
      </c>
      <c r="C56" s="252">
        <f t="shared" si="7"/>
        <v>7963997.0020396933</v>
      </c>
      <c r="D56" s="268">
        <f t="shared" si="7"/>
        <v>6648055.7102256753</v>
      </c>
      <c r="E56" s="14">
        <f t="shared" si="7"/>
        <v>14919.072735959997</v>
      </c>
      <c r="F56" s="18">
        <f t="shared" si="7"/>
        <v>1051670.3171892383</v>
      </c>
      <c r="G56" s="18">
        <f t="shared" si="7"/>
        <v>750489.09284449217</v>
      </c>
      <c r="H56" s="269">
        <f t="shared" si="7"/>
        <v>620002.16750554868</v>
      </c>
      <c r="I56" s="252">
        <f t="shared" si="7"/>
        <v>11731739.341189239</v>
      </c>
      <c r="J56" s="252">
        <f t="shared" si="7"/>
        <v>8714486.0948841851</v>
      </c>
      <c r="K56" s="268">
        <f t="shared" si="7"/>
        <v>7268057.8777312255</v>
      </c>
      <c r="L56" s="41" t="s">
        <v>594</v>
      </c>
      <c r="M56" s="41"/>
      <c r="O56" s="41" t="s">
        <v>498</v>
      </c>
      <c r="P56" s="41"/>
      <c r="Q56" s="41"/>
    </row>
    <row r="57" spans="1:20">
      <c r="D57" s="41" t="s">
        <v>592</v>
      </c>
      <c r="E57" s="42"/>
      <c r="G57" s="99"/>
      <c r="H57" s="270" t="s">
        <v>593</v>
      </c>
      <c r="I57" s="42"/>
      <c r="K57" s="269">
        <f>C39</f>
        <v>5815639.5825176621</v>
      </c>
      <c r="L57" s="41" t="s">
        <v>595</v>
      </c>
      <c r="M57" s="41"/>
    </row>
    <row r="58" spans="1:20">
      <c r="K58" s="271">
        <f>K56/K57</f>
        <v>1.2497435191100328</v>
      </c>
      <c r="L58" s="41" t="s">
        <v>409</v>
      </c>
      <c r="M58" s="41"/>
    </row>
    <row r="60" spans="1:20">
      <c r="A60" s="15" t="s">
        <v>383</v>
      </c>
      <c r="B60" s="15"/>
      <c r="C60" s="15"/>
      <c r="D60" s="103">
        <v>20</v>
      </c>
      <c r="E60" s="15" t="s">
        <v>128</v>
      </c>
      <c r="F60" s="15"/>
      <c r="G60" s="15"/>
      <c r="H60" s="15"/>
      <c r="I60" s="15"/>
      <c r="J60" s="15"/>
      <c r="K60" s="15"/>
      <c r="L60" s="15"/>
      <c r="M60" s="15"/>
      <c r="N60" s="15"/>
      <c r="O60" s="15"/>
      <c r="P60" s="15"/>
      <c r="Q60" s="15"/>
      <c r="R60" s="15"/>
      <c r="S60" s="15"/>
      <c r="T60" s="15"/>
    </row>
    <row r="62" spans="1:20" ht="57.6">
      <c r="A62" s="1" t="s">
        <v>76</v>
      </c>
      <c r="B62" s="1" t="s">
        <v>385</v>
      </c>
      <c r="C62" s="1" t="s">
        <v>419</v>
      </c>
      <c r="D62" s="257" t="s">
        <v>27</v>
      </c>
      <c r="E62" s="1" t="s">
        <v>384</v>
      </c>
      <c r="F62" s="257" t="s">
        <v>422</v>
      </c>
      <c r="G62" s="257" t="s">
        <v>421</v>
      </c>
      <c r="H62" s="257" t="s">
        <v>27</v>
      </c>
      <c r="I62" s="1" t="s">
        <v>394</v>
      </c>
      <c r="J62" s="1" t="s">
        <v>392</v>
      </c>
      <c r="K62" s="257" t="s">
        <v>27</v>
      </c>
    </row>
    <row r="63" spans="1:20">
      <c r="A63">
        <v>2022</v>
      </c>
      <c r="B63" s="252">
        <f>H7</f>
        <v>890005.75199999998</v>
      </c>
      <c r="C63" s="252">
        <f>B63/'Assumptions + TAG factors'!C85*'Assumptions + TAG factors'!$C$83</f>
        <v>715407.09358989599</v>
      </c>
      <c r="D63" s="252">
        <f>C63*'Assumptions + TAG factors'!C51</f>
        <v>715407.09358989599</v>
      </c>
      <c r="E63" s="14">
        <f>H10</f>
        <v>1243.25606133</v>
      </c>
      <c r="F63" s="18">
        <f>E63*E15</f>
        <v>77741.542954440607</v>
      </c>
      <c r="G63" s="18">
        <f>F63/'Assumptions + TAG factors'!C87*'Assumptions + TAG factors'!$C$83</f>
        <v>62706.906298452421</v>
      </c>
      <c r="H63" s="18">
        <f>G63*'Assumptions + TAG factors'!C51</f>
        <v>62706.906298452421</v>
      </c>
      <c r="I63" s="252">
        <f>SUM(B63+F63)</f>
        <v>967747.29495444056</v>
      </c>
      <c r="J63" s="252">
        <f t="shared" ref="J63" si="8">SUM(C63+G63)</f>
        <v>778113.99988834839</v>
      </c>
      <c r="K63" s="252">
        <f t="shared" ref="K63" si="9">SUM(D63+H63)</f>
        <v>778113.99988834839</v>
      </c>
    </row>
    <row r="64" spans="1:20">
      <c r="A64">
        <v>2023</v>
      </c>
      <c r="B64" s="252">
        <f>B63</f>
        <v>890005.75199999998</v>
      </c>
      <c r="C64" s="252">
        <f>B64/'Assumptions + TAG factors'!C86*'Assumptions + TAG factors'!$C$83</f>
        <v>707823.29959776462</v>
      </c>
      <c r="D64" s="252">
        <f>C64*'Assumptions + TAG factors'!C52</f>
        <v>683049.48411184282</v>
      </c>
      <c r="E64" s="14">
        <f>E63</f>
        <v>1243.25606133</v>
      </c>
      <c r="F64" s="18">
        <f t="shared" ref="F64:F82" si="10">E64*E16</f>
        <v>78821.286606585621</v>
      </c>
      <c r="G64" s="18">
        <f>F64/'Assumptions + TAG factors'!C88*'Assumptions + TAG factors'!$C$83</f>
        <v>62484.704693558342</v>
      </c>
      <c r="H64" s="18">
        <f>G64*'Assumptions + TAG factors'!C52</f>
        <v>60297.740029283799</v>
      </c>
      <c r="I64" s="252">
        <f t="shared" ref="I64:I82" si="11">SUM(B64+F64)</f>
        <v>968827.03860658559</v>
      </c>
      <c r="J64" s="252">
        <f t="shared" ref="J64:J82" si="12">SUM(C64+G64)</f>
        <v>770308.00429132301</v>
      </c>
      <c r="K64" s="252">
        <f t="shared" ref="K64:K82" si="13">SUM(D64+H64)</f>
        <v>743347.22414112661</v>
      </c>
    </row>
    <row r="65" spans="1:11">
      <c r="A65">
        <v>2024</v>
      </c>
      <c r="B65" s="252">
        <f t="shared" ref="B65:B74" si="14">B64</f>
        <v>890005.75199999998</v>
      </c>
      <c r="C65" s="252">
        <f>B65/'Assumptions + TAG factors'!C87*'Assumptions + TAG factors'!$C$83</f>
        <v>717885.25381409121</v>
      </c>
      <c r="D65" s="252">
        <f>C65*'Assumptions + TAG factors'!C53</f>
        <v>668512.69548302703</v>
      </c>
      <c r="E65" s="14">
        <f t="shared" ref="E65:E82" si="15">E64</f>
        <v>1243.25606133</v>
      </c>
      <c r="F65" s="18">
        <f t="shared" si="10"/>
        <v>79901.030258730621</v>
      </c>
      <c r="G65" s="18">
        <f>F65/'Assumptions + TAG factors'!C89*'Assumptions + TAG factors'!$C$83</f>
        <v>62010.221048951731</v>
      </c>
      <c r="H65" s="18">
        <f>G65*'Assumptions + TAG factors'!C53</f>
        <v>57745.468096310076</v>
      </c>
      <c r="I65" s="252">
        <f t="shared" si="11"/>
        <v>969906.78225873061</v>
      </c>
      <c r="J65" s="252">
        <f t="shared" si="12"/>
        <v>779895.47486304294</v>
      </c>
      <c r="K65" s="252">
        <f t="shared" si="13"/>
        <v>726258.16357933707</v>
      </c>
    </row>
    <row r="66" spans="1:11">
      <c r="A66">
        <v>2025</v>
      </c>
      <c r="B66" s="252">
        <f t="shared" si="14"/>
        <v>890005.75199999998</v>
      </c>
      <c r="C66" s="252">
        <f>B66/'Assumptions + TAG factors'!C88*'Assumptions + TAG factors'!$C$83</f>
        <v>705542.23336722201</v>
      </c>
      <c r="D66" s="252">
        <f>C66*'Assumptions + TAG factors'!C54</f>
        <v>634022.9164480326</v>
      </c>
      <c r="E66" s="14">
        <f t="shared" si="15"/>
        <v>1243.25606133</v>
      </c>
      <c r="F66" s="18">
        <f t="shared" si="10"/>
        <v>80980.773910875621</v>
      </c>
      <c r="G66" s="18">
        <f>F66/'Assumptions + TAG factors'!C90*'Assumptions + TAG factors'!$C$83</f>
        <v>61537.63857962464</v>
      </c>
      <c r="H66" s="18">
        <f>G66*'Assumptions + TAG factors'!C54</f>
        <v>55299.698924290067</v>
      </c>
      <c r="I66" s="252">
        <f t="shared" si="11"/>
        <v>970986.52591087564</v>
      </c>
      <c r="J66" s="252">
        <f t="shared" si="12"/>
        <v>767079.8719468466</v>
      </c>
      <c r="K66" s="252">
        <f t="shared" si="13"/>
        <v>689322.61537232262</v>
      </c>
    </row>
    <row r="67" spans="1:11">
      <c r="A67">
        <v>2026</v>
      </c>
      <c r="B67" s="252">
        <f t="shared" si="14"/>
        <v>890005.75199999998</v>
      </c>
      <c r="C67" s="252">
        <f>B67/'Assumptions + TAG factors'!C89*'Assumptions + TAG factors'!$C$83</f>
        <v>690722.67576084333</v>
      </c>
      <c r="D67" s="252">
        <f>C67*'Assumptions + TAG factors'!C55</f>
        <v>598980.89039798966</v>
      </c>
      <c r="E67" s="14">
        <f t="shared" si="15"/>
        <v>1243.25606133</v>
      </c>
      <c r="F67" s="18">
        <f t="shared" si="10"/>
        <v>82060.51756302065</v>
      </c>
      <c r="G67" s="18">
        <f>F67/'Assumptions + TAG factors'!C91*'Assumptions + TAG factors'!$C$83</f>
        <v>60956.149000345053</v>
      </c>
      <c r="H67" s="18">
        <f>G67*'Assumptions + TAG factors'!C55</f>
        <v>52859.953328216812</v>
      </c>
      <c r="I67" s="252">
        <f t="shared" si="11"/>
        <v>972066.26956302067</v>
      </c>
      <c r="J67" s="252">
        <f t="shared" si="12"/>
        <v>751678.82476118836</v>
      </c>
      <c r="K67" s="252">
        <f t="shared" si="13"/>
        <v>651840.84372620645</v>
      </c>
    </row>
    <row r="68" spans="1:11">
      <c r="A68">
        <v>2027</v>
      </c>
      <c r="B68" s="252">
        <f t="shared" si="14"/>
        <v>890005.75199999998</v>
      </c>
      <c r="C68" s="252">
        <f>B68/'Assumptions + TAG factors'!C90*'Assumptions + TAG factors'!$C$83</f>
        <v>676319.20090859546</v>
      </c>
      <c r="D68" s="252">
        <f>C68*'Assumptions + TAG factors'!C56</f>
        <v>565963.31808928365</v>
      </c>
      <c r="E68" s="14">
        <f t="shared" si="15"/>
        <v>1243.25606133</v>
      </c>
      <c r="F68" s="18">
        <f t="shared" si="10"/>
        <v>83140.26121516565</v>
      </c>
      <c r="G68" s="18">
        <f>F68/'Assumptions + TAG factors'!C92*'Assumptions + TAG factors'!$C$83</f>
        <v>60369.70048138305</v>
      </c>
      <c r="H68" s="18">
        <f>G68*'Assumptions + TAG factors'!C56</f>
        <v>50519.098009635622</v>
      </c>
      <c r="I68" s="252">
        <f t="shared" si="11"/>
        <v>973146.01321516559</v>
      </c>
      <c r="J68" s="252">
        <f t="shared" si="12"/>
        <v>736688.90138997848</v>
      </c>
      <c r="K68" s="252">
        <f t="shared" si="13"/>
        <v>616482.41609891923</v>
      </c>
    </row>
    <row r="69" spans="1:11">
      <c r="A69">
        <v>2028</v>
      </c>
      <c r="B69" s="252">
        <f t="shared" si="14"/>
        <v>890005.75199999998</v>
      </c>
      <c r="C69" s="252">
        <f>B69/'Assumptions + TAG factors'!C91*'Assumptions + TAG factors'!$C$83</f>
        <v>661113.58837594884</v>
      </c>
      <c r="D69" s="252">
        <f>C69*'Assumptions + TAG factors'!C57</f>
        <v>533875.46623280435</v>
      </c>
      <c r="E69" s="14">
        <f t="shared" si="15"/>
        <v>1243.25606133</v>
      </c>
      <c r="F69" s="18">
        <f t="shared" si="10"/>
        <v>85299.748519455665</v>
      </c>
      <c r="G69" s="18">
        <f>F69/'Assumptions + TAG factors'!C93*'Assumptions + TAG factors'!$C$83</f>
        <v>60545.204936198119</v>
      </c>
      <c r="H69" s="18">
        <f>G69*'Assumptions + TAG factors'!C57</f>
        <v>48892.656393400772</v>
      </c>
      <c r="I69" s="252">
        <f t="shared" si="11"/>
        <v>975305.50051945564</v>
      </c>
      <c r="J69" s="252">
        <f t="shared" si="12"/>
        <v>721658.79331214691</v>
      </c>
      <c r="K69" s="252">
        <f t="shared" si="13"/>
        <v>582768.12262620509</v>
      </c>
    </row>
    <row r="70" spans="1:11">
      <c r="A70">
        <v>2029</v>
      </c>
      <c r="B70" s="252">
        <f t="shared" si="14"/>
        <v>890005.75199999998</v>
      </c>
      <c r="C70" s="252">
        <f>B70/'Assumptions + TAG factors'!C92*'Assumptions + TAG factors'!$C$83</f>
        <v>646249.84200972517</v>
      </c>
      <c r="D70" s="252">
        <f>C70*'Assumptions + TAG factors'!C58</f>
        <v>503606.86697424849</v>
      </c>
      <c r="E70" s="14">
        <f t="shared" si="15"/>
        <v>1243.25606133</v>
      </c>
      <c r="F70" s="18">
        <f t="shared" si="10"/>
        <v>86379.492171600679</v>
      </c>
      <c r="G70" s="18">
        <f>F70/'Assumptions + TAG factors'!C94*'Assumptions + TAG factors'!$C$83</f>
        <v>59933.13776675515</v>
      </c>
      <c r="H70" s="18">
        <f>G70*'Assumptions + TAG factors'!C58</f>
        <v>46704.444282397766</v>
      </c>
      <c r="I70" s="252">
        <f t="shared" si="11"/>
        <v>976385.24417160067</v>
      </c>
      <c r="J70" s="252">
        <f t="shared" si="12"/>
        <v>706182.97977648035</v>
      </c>
      <c r="K70" s="252">
        <f t="shared" si="13"/>
        <v>550311.3112566463</v>
      </c>
    </row>
    <row r="71" spans="1:11">
      <c r="A71">
        <v>2030</v>
      </c>
      <c r="B71" s="252">
        <f t="shared" si="14"/>
        <v>890005.75199999998</v>
      </c>
      <c r="C71" s="252">
        <f>B71/'Assumptions + TAG factors'!C93*'Assumptions + TAG factors'!$C$83</f>
        <v>631720.27566933073</v>
      </c>
      <c r="D71" s="252">
        <f>C71*'Assumptions + TAG factors'!C59</f>
        <v>475054.37598255125</v>
      </c>
      <c r="E71" s="14">
        <f t="shared" si="15"/>
        <v>1243.25606133</v>
      </c>
      <c r="F71" s="18">
        <f t="shared" si="10"/>
        <v>87459.235823745679</v>
      </c>
      <c r="G71" s="18">
        <f>F71/'Assumptions + TAG factors'!C95*'Assumptions + TAG factors'!$C$83</f>
        <v>59317.988258885212</v>
      </c>
      <c r="H71" s="18">
        <f>G71*'Assumptions + TAG factors'!C59</f>
        <v>44607.195593030556</v>
      </c>
      <c r="I71" s="252">
        <f t="shared" si="11"/>
        <v>977464.9878237457</v>
      </c>
      <c r="J71" s="252">
        <f t="shared" si="12"/>
        <v>691038.26392821595</v>
      </c>
      <c r="K71" s="252">
        <f t="shared" si="13"/>
        <v>519661.57157558179</v>
      </c>
    </row>
    <row r="72" spans="1:11">
      <c r="A72">
        <v>2031</v>
      </c>
      <c r="B72" s="252">
        <f t="shared" si="14"/>
        <v>890005.75199999998</v>
      </c>
      <c r="C72" s="252">
        <f>B72/'Assumptions + TAG factors'!C94*'Assumptions + TAG factors'!$C$83</f>
        <v>617517.3760208512</v>
      </c>
      <c r="D72" s="252">
        <f>C72*'Assumptions + TAG factors'!C60</f>
        <v>448120.69679683476</v>
      </c>
      <c r="E72" s="14">
        <f t="shared" si="15"/>
        <v>1243.25606133</v>
      </c>
      <c r="F72" s="18">
        <f t="shared" si="10"/>
        <v>95017.441388760737</v>
      </c>
      <c r="G72" s="18">
        <f>F72/'Assumptions + TAG factors'!C96*'Assumptions + TAG factors'!$C$83</f>
        <v>62995.341307723582</v>
      </c>
      <c r="H72" s="18">
        <f>G72*'Assumptions + TAG factors'!C60</f>
        <v>45714.529401061445</v>
      </c>
      <c r="I72" s="252">
        <f t="shared" si="11"/>
        <v>985023.19338876067</v>
      </c>
      <c r="J72" s="252">
        <f t="shared" si="12"/>
        <v>680512.71732857474</v>
      </c>
      <c r="K72" s="252">
        <f t="shared" si="13"/>
        <v>493835.22619789618</v>
      </c>
    </row>
    <row r="73" spans="1:11">
      <c r="A73">
        <v>2032</v>
      </c>
      <c r="B73" s="252">
        <f t="shared" si="14"/>
        <v>890005.75199999998</v>
      </c>
      <c r="C73" s="252">
        <f>B73/'Assumptions + TAG factors'!C95*'Assumptions + TAG factors'!$C$83</f>
        <v>603633.79865185847</v>
      </c>
      <c r="D73" s="252">
        <f>C73*'Assumptions + TAG factors'!C61</f>
        <v>422714.04927560658</v>
      </c>
      <c r="E73" s="14">
        <f t="shared" si="15"/>
        <v>1243.25606133</v>
      </c>
      <c r="F73" s="18">
        <f t="shared" si="10"/>
        <v>103655.39060592081</v>
      </c>
      <c r="G73" s="18">
        <f>F73/'Assumptions + TAG factors'!C97*'Assumptions + TAG factors'!$C$83</f>
        <v>67177.116830417057</v>
      </c>
      <c r="H73" s="18">
        <f>G73*'Assumptions + TAG factors'!C61</f>
        <v>47042.944145053909</v>
      </c>
      <c r="I73" s="252">
        <f t="shared" si="11"/>
        <v>993661.14260592079</v>
      </c>
      <c r="J73" s="252">
        <f t="shared" si="12"/>
        <v>670810.91548227554</v>
      </c>
      <c r="K73" s="252">
        <f t="shared" si="13"/>
        <v>469756.9934206605</v>
      </c>
    </row>
    <row r="74" spans="1:11">
      <c r="A74">
        <v>2033</v>
      </c>
      <c r="B74" s="252">
        <f t="shared" si="14"/>
        <v>890005.75199999998</v>
      </c>
      <c r="C74" s="252">
        <f>B74/'Assumptions + TAG factors'!C96*'Assumptions + TAG factors'!$C$83</f>
        <v>590062.36427356652</v>
      </c>
      <c r="D74" s="252">
        <f>C74*'Assumptions + TAG factors'!C62</f>
        <v>398747.85684355861</v>
      </c>
      <c r="E74" s="14">
        <f t="shared" si="15"/>
        <v>1243.25606133</v>
      </c>
      <c r="F74" s="18">
        <f t="shared" si="10"/>
        <v>111213.59617093587</v>
      </c>
      <c r="G74" s="18">
        <f>F74/'Assumptions + TAG factors'!C98*'Assumptions + TAG factors'!$C$83</f>
        <v>70454.983642197752</v>
      </c>
      <c r="H74" s="18">
        <f>G74*'Assumptions + TAG factors'!C62</f>
        <v>47611.533004415462</v>
      </c>
      <c r="I74" s="252">
        <f t="shared" si="11"/>
        <v>1001219.3481709359</v>
      </c>
      <c r="J74" s="252">
        <f t="shared" si="12"/>
        <v>660517.34791576432</v>
      </c>
      <c r="K74" s="252">
        <f t="shared" si="13"/>
        <v>446359.38984797406</v>
      </c>
    </row>
    <row r="75" spans="1:11">
      <c r="A75">
        <v>2034</v>
      </c>
      <c r="B75" s="252">
        <f t="shared" ref="B75:B81" si="16">B74</f>
        <v>890005.75199999998</v>
      </c>
      <c r="C75" s="252">
        <f>B75/'Assumptions + TAG factors'!C97*'Assumptions + TAG factors'!$C$83</f>
        <v>576796.05500837392</v>
      </c>
      <c r="D75" s="252">
        <f>C75*'Assumptions + TAG factors'!C63</f>
        <v>376140.45147021901</v>
      </c>
      <c r="E75" s="14">
        <f t="shared" si="15"/>
        <v>1243.25606133</v>
      </c>
      <c r="F75" s="18">
        <f t="shared" si="10"/>
        <v>119851.54538809594</v>
      </c>
      <c r="G75" s="18">
        <f>F75/'Assumptions + TAG factors'!C99*'Assumptions + TAG factors'!$C$83</f>
        <v>74220.151887974178</v>
      </c>
      <c r="H75" s="18">
        <f>G75*'Assumptions + TAG factors'!C63</f>
        <v>48400.472223974444</v>
      </c>
      <c r="I75" s="252">
        <f t="shared" si="11"/>
        <v>1009857.2973880959</v>
      </c>
      <c r="J75" s="252">
        <f t="shared" si="12"/>
        <v>651016.20689634816</v>
      </c>
      <c r="K75" s="252">
        <f t="shared" si="13"/>
        <v>424540.92369419348</v>
      </c>
    </row>
    <row r="76" spans="1:11">
      <c r="A76">
        <v>2035</v>
      </c>
      <c r="B76" s="252">
        <f t="shared" si="16"/>
        <v>890005.75199999998</v>
      </c>
      <c r="C76" s="252">
        <f>B76/'Assumptions + TAG factors'!C98*'Assumptions + TAG factors'!$C$83</f>
        <v>563828.01076087391</v>
      </c>
      <c r="D76" s="252">
        <f>C76*'Assumptions + TAG factors'!C64</f>
        <v>354814.79537513334</v>
      </c>
      <c r="E76" s="14">
        <f t="shared" si="15"/>
        <v>1243.25606133</v>
      </c>
      <c r="F76" s="18">
        <f t="shared" si="10"/>
        <v>127409.750953111</v>
      </c>
      <c r="G76" s="18">
        <f>F76/'Assumptions + TAG factors'!C100*'Assumptions + TAG factors'!$C$83</f>
        <v>77126.785930631115</v>
      </c>
      <c r="H76" s="18">
        <f>G76*'Assumptions + TAG factors'!C64</f>
        <v>48535.58930317976</v>
      </c>
      <c r="I76" s="252">
        <f t="shared" si="11"/>
        <v>1017415.502953111</v>
      </c>
      <c r="J76" s="252">
        <f t="shared" si="12"/>
        <v>640954.79669150501</v>
      </c>
      <c r="K76" s="252">
        <f t="shared" si="13"/>
        <v>403350.3846783131</v>
      </c>
    </row>
    <row r="77" spans="1:11">
      <c r="A77">
        <v>2036</v>
      </c>
      <c r="B77" s="252">
        <f t="shared" si="16"/>
        <v>890005.75199999998</v>
      </c>
      <c r="C77" s="252">
        <f>B77/'Assumptions + TAG factors'!C99*'Assumptions + TAG factors'!$C$83</f>
        <v>551151.52567045344</v>
      </c>
      <c r="D77" s="252">
        <f>C77*'Assumptions + TAG factors'!C65</f>
        <v>334698.21851124498</v>
      </c>
      <c r="E77" s="14">
        <f t="shared" si="15"/>
        <v>1243.25606133</v>
      </c>
      <c r="F77" s="18">
        <f t="shared" si="10"/>
        <v>136047.70017027107</v>
      </c>
      <c r="G77" s="18">
        <f>F77/'Assumptions + TAG factors'!C101*'Assumptions + TAG factors'!$C$83</f>
        <v>80504.125679370423</v>
      </c>
      <c r="H77" s="18">
        <f>G77*'Assumptions + TAG factors'!C65</f>
        <v>48887.803431032247</v>
      </c>
      <c r="I77" s="252">
        <f t="shared" si="11"/>
        <v>1026053.4521702711</v>
      </c>
      <c r="J77" s="252">
        <f t="shared" si="12"/>
        <v>631655.65134982392</v>
      </c>
      <c r="K77" s="252">
        <f t="shared" si="13"/>
        <v>383586.02194227721</v>
      </c>
    </row>
    <row r="78" spans="1:11">
      <c r="A78">
        <v>2037</v>
      </c>
      <c r="B78" s="252">
        <f t="shared" si="16"/>
        <v>890005.75199999998</v>
      </c>
      <c r="C78" s="252">
        <f>B78/'Assumptions + TAG factors'!C100*'Assumptions + TAG factors'!$C$83</f>
        <v>538760.0446436496</v>
      </c>
      <c r="D78" s="252">
        <f>C78*'Assumptions + TAG factors'!C66</f>
        <v>315722.17093191732</v>
      </c>
      <c r="E78" s="14">
        <f t="shared" si="15"/>
        <v>1243.25606133</v>
      </c>
      <c r="F78" s="18">
        <f t="shared" si="10"/>
        <v>143605.90573528613</v>
      </c>
      <c r="G78" s="18">
        <f>F78/'Assumptions + TAG factors'!C102*'Assumptions + TAG factors'!$C$83</f>
        <v>83066.057777128168</v>
      </c>
      <c r="H78" s="18">
        <f>G78*'Assumptions + TAG factors'!C66</f>
        <v>48678.064293905518</v>
      </c>
      <c r="I78" s="252">
        <f t="shared" si="11"/>
        <v>1033611.657735286</v>
      </c>
      <c r="J78" s="252">
        <f t="shared" si="12"/>
        <v>621826.10242077778</v>
      </c>
      <c r="K78" s="252">
        <f t="shared" si="13"/>
        <v>364400.23522582283</v>
      </c>
    </row>
    <row r="79" spans="1:11">
      <c r="A79">
        <v>2038</v>
      </c>
      <c r="B79" s="252">
        <f t="shared" si="16"/>
        <v>890005.75199999998</v>
      </c>
      <c r="C79" s="252">
        <f>B79/'Assumptions + TAG factors'!C101*'Assumptions + TAG factors'!$C$83</f>
        <v>526647.15996446693</v>
      </c>
      <c r="D79" s="252">
        <f>C79*'Assumptions + TAG factors'!C67</f>
        <v>297821.98919775197</v>
      </c>
      <c r="E79" s="14">
        <f t="shared" si="15"/>
        <v>1243.25606133</v>
      </c>
      <c r="F79" s="18">
        <f t="shared" si="10"/>
        <v>152243.85495244619</v>
      </c>
      <c r="G79" s="18">
        <f>F79/'Assumptions + TAG factors'!C103*'Assumptions + TAG factors'!$C$83</f>
        <v>86082.612297422966</v>
      </c>
      <c r="H79" s="18">
        <f>G79*'Assumptions + TAG factors'!C67</f>
        <v>48680.210924306761</v>
      </c>
      <c r="I79" s="252">
        <f t="shared" si="11"/>
        <v>1042249.6069524462</v>
      </c>
      <c r="J79" s="252">
        <f t="shared" si="12"/>
        <v>612729.77226188988</v>
      </c>
      <c r="K79" s="252">
        <f t="shared" si="13"/>
        <v>346502.20012205874</v>
      </c>
    </row>
    <row r="80" spans="1:11">
      <c r="A80">
        <v>2039</v>
      </c>
      <c r="B80" s="252">
        <f t="shared" si="16"/>
        <v>890005.75199999998</v>
      </c>
      <c r="C80" s="252">
        <f>B80/'Assumptions + TAG factors'!C102*'Assumptions + TAG factors'!$C$83</f>
        <v>514806.60798090615</v>
      </c>
      <c r="D80" s="252">
        <f>C80*'Assumptions + TAG factors'!C68</f>
        <v>280936.67602720496</v>
      </c>
      <c r="E80" s="14">
        <f t="shared" si="15"/>
        <v>1243.25606133</v>
      </c>
      <c r="F80" s="18">
        <f t="shared" si="10"/>
        <v>159802.06051746124</v>
      </c>
      <c r="G80" s="18">
        <f>F80/'Assumptions + TAG factors'!C104*'Assumptions + TAG factors'!$C$83</f>
        <v>88324.747960168621</v>
      </c>
      <c r="H80" s="18">
        <f>G80*'Assumptions + TAG factors'!C68</f>
        <v>48199.966197385613</v>
      </c>
      <c r="I80" s="252">
        <f t="shared" si="11"/>
        <v>1049807.8125174611</v>
      </c>
      <c r="J80" s="252">
        <f t="shared" si="12"/>
        <v>603131.35594107478</v>
      </c>
      <c r="K80" s="252">
        <f t="shared" si="13"/>
        <v>329136.64222459059</v>
      </c>
    </row>
    <row r="81" spans="1:17">
      <c r="A81">
        <v>2040</v>
      </c>
      <c r="B81" s="252">
        <f t="shared" si="16"/>
        <v>890005.75199999998</v>
      </c>
      <c r="C81" s="252">
        <f>B81/'Assumptions + TAG factors'!C103*'Assumptions + TAG factors'!$C$83</f>
        <v>503232.26586598839</v>
      </c>
      <c r="D81" s="252">
        <f>C81*'Assumptions + TAG factors'!C69</f>
        <v>265008.69244012976</v>
      </c>
      <c r="E81" s="14">
        <f t="shared" si="15"/>
        <v>1243.25606133</v>
      </c>
      <c r="F81" s="18">
        <f t="shared" si="10"/>
        <v>168440.00973462133</v>
      </c>
      <c r="G81" s="18">
        <f>F81/'Assumptions + TAG factors'!C105*'Assumptions + TAG factors'!$C$83</f>
        <v>91005.922444494907</v>
      </c>
      <c r="H81" s="18">
        <f>G81*'Assumptions + TAG factors'!C69</f>
        <v>47924.90892812892</v>
      </c>
      <c r="I81" s="252">
        <f t="shared" si="11"/>
        <v>1058445.7617346214</v>
      </c>
      <c r="J81" s="252">
        <f t="shared" si="12"/>
        <v>594238.18831048324</v>
      </c>
      <c r="K81" s="252">
        <f t="shared" si="13"/>
        <v>312933.60136825871</v>
      </c>
    </row>
    <row r="82" spans="1:17">
      <c r="A82">
        <v>2041</v>
      </c>
      <c r="B82" s="252">
        <f t="shared" ref="B82" si="17">B81</f>
        <v>890005.75199999998</v>
      </c>
      <c r="C82" s="252">
        <f>B82/'Assumptions + TAG factors'!C104*'Assumptions + TAG factors'!$C$83</f>
        <v>491918.14845160168</v>
      </c>
      <c r="D82" s="252">
        <f>C82*'Assumptions + TAG factors'!C70</f>
        <v>249983.76168594844</v>
      </c>
      <c r="E82" s="14">
        <f t="shared" si="15"/>
        <v>1243.25606133</v>
      </c>
      <c r="F82" s="18">
        <f t="shared" si="10"/>
        <v>175998.21529963639</v>
      </c>
      <c r="G82" s="18">
        <f>F82/'Assumptions + TAG factors'!C106*'Assumptions + TAG factors'!$C$83</f>
        <v>92951.633947744645</v>
      </c>
      <c r="H82" s="18">
        <f>G82*'Assumptions + TAG factors'!C70</f>
        <v>47236.311939807747</v>
      </c>
      <c r="I82" s="252">
        <f t="shared" si="11"/>
        <v>1066003.9672996365</v>
      </c>
      <c r="J82" s="252">
        <f t="shared" si="12"/>
        <v>584869.78239934635</v>
      </c>
      <c r="K82" s="252">
        <f t="shared" si="13"/>
        <v>297220.07362575619</v>
      </c>
    </row>
    <row r="83" spans="1:17">
      <c r="A83" s="22" t="s">
        <v>26</v>
      </c>
      <c r="B83" s="252">
        <f>SUM(B63:B82)</f>
        <v>17800115.040000003</v>
      </c>
      <c r="C83" s="14">
        <f t="shared" ref="C83:F83" si="18">SUM(C63:C82)</f>
        <v>12231136.820386009</v>
      </c>
      <c r="D83" s="268">
        <f t="shared" si="18"/>
        <v>9123182.4658652246</v>
      </c>
      <c r="E83" s="9">
        <f t="shared" si="18"/>
        <v>24865.121226600004</v>
      </c>
      <c r="F83" s="252">
        <f t="shared" si="18"/>
        <v>2235069.359940168</v>
      </c>
      <c r="G83" s="273">
        <f>SUM(G63:G82)</f>
        <v>1423771.1307694272</v>
      </c>
      <c r="H83" s="268">
        <f t="shared" ref="H83:K83" si="19">SUM(H63:H82)</f>
        <v>1006545.4947472695</v>
      </c>
      <c r="I83" s="273">
        <f t="shared" si="19"/>
        <v>20035184.399940167</v>
      </c>
      <c r="J83" s="273">
        <f t="shared" si="19"/>
        <v>13654907.951155433</v>
      </c>
      <c r="K83" s="268">
        <f t="shared" si="19"/>
        <v>10129727.960612496</v>
      </c>
      <c r="L83" s="41" t="s">
        <v>393</v>
      </c>
      <c r="M83" s="41"/>
      <c r="O83" s="41" t="s">
        <v>499</v>
      </c>
      <c r="P83" s="41"/>
      <c r="Q83" s="41"/>
    </row>
    <row r="84" spans="1:17">
      <c r="D84" s="41" t="s">
        <v>420</v>
      </c>
      <c r="E84" s="42"/>
      <c r="H84" s="270" t="s">
        <v>423</v>
      </c>
      <c r="I84" s="42"/>
      <c r="K84" s="269">
        <f>C39</f>
        <v>5815639.5825176621</v>
      </c>
      <c r="L84" s="41" t="s">
        <v>408</v>
      </c>
      <c r="M84" s="41"/>
    </row>
    <row r="85" spans="1:17">
      <c r="G85" s="272"/>
      <c r="K85" s="271">
        <f>K83/K84</f>
        <v>1.7418080706141719</v>
      </c>
      <c r="L85" s="41" t="s">
        <v>410</v>
      </c>
      <c r="M85" s="41"/>
    </row>
  </sheetData>
  <hyperlinks>
    <hyperlink ref="R9" r:id="rId1" xr:uid="{B0DEF118-45B7-4A5E-B25F-EA6FDA753450}"/>
    <hyperlink ref="F37" r:id="rId2" xr:uid="{1A42BE76-5C07-4FB3-8FBF-FE2DB4FE1E6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A97A7-0613-4D48-AF93-4C128F8FE021}">
  <dimension ref="A1:P173"/>
  <sheetViews>
    <sheetView topLeftCell="A52" workbookViewId="0">
      <selection activeCell="D98" sqref="D98"/>
    </sheetView>
  </sheetViews>
  <sheetFormatPr defaultRowHeight="14.4"/>
  <cols>
    <col min="1" max="1" width="80.44140625" customWidth="1"/>
    <col min="2" max="2" width="19.21875" customWidth="1"/>
    <col min="3" max="3" width="19.33203125" customWidth="1"/>
    <col min="4" max="4" width="17" customWidth="1"/>
    <col min="5" max="5" width="22.6640625" customWidth="1"/>
    <col min="6" max="6" width="26.21875" customWidth="1"/>
    <col min="7" max="7" width="24.77734375" customWidth="1"/>
    <col min="8" max="8" width="19.33203125" customWidth="1"/>
    <col min="9" max="9" width="23.77734375" customWidth="1"/>
    <col min="10" max="11" width="16.44140625" customWidth="1"/>
    <col min="12" max="12" width="9.44140625" customWidth="1"/>
    <col min="14" max="14" width="11.109375" customWidth="1"/>
    <col min="16" max="16" width="15.109375" bestFit="1" customWidth="1"/>
  </cols>
  <sheetData>
    <row r="1" spans="1:14" s="304" customFormat="1">
      <c r="A1" s="303" t="s">
        <v>0</v>
      </c>
      <c r="B1" s="303"/>
      <c r="C1" s="303"/>
    </row>
    <row r="3" spans="1:14" ht="43.2">
      <c r="A3" s="2" t="s">
        <v>114</v>
      </c>
      <c r="B3" s="2" t="s">
        <v>2</v>
      </c>
      <c r="C3" s="3" t="s">
        <v>361</v>
      </c>
      <c r="D3" s="141" t="s">
        <v>359</v>
      </c>
      <c r="E3" s="491" t="s">
        <v>3</v>
      </c>
      <c r="F3" s="491"/>
      <c r="G3" s="491" t="s">
        <v>4</v>
      </c>
      <c r="H3" s="491"/>
      <c r="I3" s="15"/>
    </row>
    <row r="4" spans="1:14">
      <c r="A4" s="492" t="s">
        <v>113</v>
      </c>
      <c r="B4" s="490" t="s">
        <v>360</v>
      </c>
      <c r="C4" s="493">
        <v>291</v>
      </c>
      <c r="D4" s="493">
        <v>42</v>
      </c>
      <c r="E4">
        <v>40</v>
      </c>
      <c r="F4" t="s">
        <v>5</v>
      </c>
      <c r="G4">
        <f>E4*2</f>
        <v>80</v>
      </c>
      <c r="H4" t="s">
        <v>6</v>
      </c>
      <c r="J4" t="s">
        <v>358</v>
      </c>
      <c r="N4" s="25" t="s">
        <v>357</v>
      </c>
    </row>
    <row r="5" spans="1:14">
      <c r="A5" s="492"/>
      <c r="B5" s="490"/>
      <c r="C5" s="493"/>
      <c r="D5" s="493"/>
      <c r="E5">
        <v>25</v>
      </c>
      <c r="F5" t="s">
        <v>7</v>
      </c>
      <c r="G5">
        <f>E5</f>
        <v>25</v>
      </c>
      <c r="H5" t="s">
        <v>8</v>
      </c>
      <c r="J5" t="s">
        <v>362</v>
      </c>
    </row>
    <row r="6" spans="1:14">
      <c r="E6" s="246">
        <f>SUM(G4:G5)</f>
        <v>105</v>
      </c>
      <c r="F6" t="s">
        <v>9</v>
      </c>
      <c r="H6" t="s">
        <v>10</v>
      </c>
    </row>
    <row r="7" spans="1:14">
      <c r="A7" t="s">
        <v>50</v>
      </c>
      <c r="B7" s="5">
        <v>0.35</v>
      </c>
      <c r="C7" s="10">
        <f>D4</f>
        <v>42</v>
      </c>
      <c r="D7" s="26" t="s">
        <v>36</v>
      </c>
      <c r="E7" t="s">
        <v>559</v>
      </c>
    </row>
    <row r="8" spans="1:14">
      <c r="A8" t="s">
        <v>51</v>
      </c>
      <c r="B8" s="5">
        <v>0.65</v>
      </c>
      <c r="C8" s="10">
        <f>C4</f>
        <v>291</v>
      </c>
      <c r="D8" s="14"/>
    </row>
    <row r="9" spans="1:14">
      <c r="B9" s="5"/>
      <c r="C9" s="4"/>
      <c r="D9" s="14"/>
    </row>
    <row r="10" spans="1:14">
      <c r="A10" t="s">
        <v>364</v>
      </c>
      <c r="B10" s="248">
        <f>SUMPRODUCT(B7:B8, C7:C8)</f>
        <v>203.85</v>
      </c>
      <c r="E10" s="247"/>
    </row>
    <row r="11" spans="1:14">
      <c r="A11" t="s">
        <v>366</v>
      </c>
      <c r="B11" s="249">
        <v>13.2</v>
      </c>
      <c r="C11" t="s">
        <v>365</v>
      </c>
      <c r="E11" s="247"/>
    </row>
    <row r="12" spans="1:14">
      <c r="B12" s="10"/>
      <c r="E12" s="247"/>
    </row>
    <row r="13" spans="1:14">
      <c r="A13" t="s">
        <v>31</v>
      </c>
      <c r="C13" s="116">
        <v>3</v>
      </c>
      <c r="D13" t="s">
        <v>11</v>
      </c>
      <c r="I13" t="s">
        <v>12</v>
      </c>
    </row>
    <row r="14" spans="1:14">
      <c r="A14" t="s">
        <v>31</v>
      </c>
      <c r="C14" s="116">
        <v>2</v>
      </c>
      <c r="D14" t="s">
        <v>13</v>
      </c>
    </row>
    <row r="15" spans="1:14">
      <c r="A15" s="5" t="s">
        <v>14</v>
      </c>
      <c r="B15" s="6"/>
      <c r="C15" s="6"/>
      <c r="D15" s="116">
        <v>235</v>
      </c>
      <c r="E15" s="6"/>
      <c r="F15" s="6"/>
      <c r="G15" s="6" t="s">
        <v>240</v>
      </c>
      <c r="H15" s="6"/>
      <c r="I15" s="6"/>
    </row>
    <row r="16" spans="1:14">
      <c r="A16" s="5" t="s">
        <v>15</v>
      </c>
      <c r="B16" s="6"/>
      <c r="C16" s="6"/>
      <c r="D16" s="116">
        <v>112</v>
      </c>
      <c r="E16" s="6"/>
      <c r="F16" s="6"/>
      <c r="G16" s="6" t="s">
        <v>240</v>
      </c>
      <c r="H16" s="6"/>
      <c r="I16" s="6"/>
    </row>
    <row r="17" spans="1:9">
      <c r="A17" s="5"/>
      <c r="B17" s="6"/>
      <c r="C17" s="6"/>
      <c r="E17" s="6"/>
      <c r="F17" s="6"/>
      <c r="G17" s="6"/>
      <c r="H17" s="6"/>
      <c r="I17" s="6"/>
    </row>
    <row r="18" spans="1:9">
      <c r="A18" s="261" t="s">
        <v>417</v>
      </c>
      <c r="B18" s="262"/>
      <c r="C18" s="262"/>
      <c r="D18" s="24"/>
      <c r="E18" s="262"/>
      <c r="F18" s="262"/>
      <c r="G18" s="262"/>
      <c r="H18" s="262"/>
      <c r="I18" s="262"/>
    </row>
    <row r="19" spans="1:9">
      <c r="A19" s="5" t="s">
        <v>413</v>
      </c>
      <c r="B19" s="252">
        <v>1000000</v>
      </c>
      <c r="C19" s="6" t="s">
        <v>400</v>
      </c>
      <c r="E19" s="6"/>
      <c r="F19" s="6"/>
      <c r="G19" s="6"/>
      <c r="H19" s="6"/>
      <c r="I19" s="6"/>
    </row>
    <row r="20" spans="1:9">
      <c r="A20" s="5" t="s">
        <v>414</v>
      </c>
      <c r="B20" s="18">
        <f>B19/'Assumptions + TAG factors'!C87*'Assumptions + TAG factors'!C83</f>
        <v>806607.43169454404</v>
      </c>
      <c r="C20" s="6" t="s">
        <v>415</v>
      </c>
      <c r="E20" s="6"/>
      <c r="F20" s="6"/>
      <c r="G20" s="6"/>
      <c r="H20" s="6"/>
      <c r="I20" s="6"/>
    </row>
    <row r="21" spans="1:9">
      <c r="A21" s="5"/>
      <c r="B21" s="6"/>
      <c r="C21" s="6"/>
      <c r="E21" s="6"/>
      <c r="F21" s="6"/>
      <c r="G21" s="6"/>
      <c r="H21" s="6"/>
      <c r="I21" s="6"/>
    </row>
    <row r="23" spans="1:9">
      <c r="A23" s="1" t="s">
        <v>28</v>
      </c>
    </row>
    <row r="24" spans="1:9" ht="43.2">
      <c r="A24" s="3" t="s">
        <v>1</v>
      </c>
      <c r="B24" s="3" t="s">
        <v>2</v>
      </c>
      <c r="C24" s="3" t="s">
        <v>363</v>
      </c>
      <c r="D24" s="3" t="s">
        <v>16</v>
      </c>
      <c r="E24" s="7" t="s">
        <v>17</v>
      </c>
      <c r="F24" s="7" t="s">
        <v>18</v>
      </c>
      <c r="G24" s="8" t="s">
        <v>19</v>
      </c>
      <c r="H24" s="8" t="s">
        <v>20</v>
      </c>
    </row>
    <row r="25" spans="1:9">
      <c r="A25" s="490" t="s">
        <v>29</v>
      </c>
      <c r="B25" s="490" t="s">
        <v>360</v>
      </c>
      <c r="C25" s="493">
        <f>B10</f>
        <v>203.85</v>
      </c>
      <c r="D25">
        <f>G4</f>
        <v>80</v>
      </c>
      <c r="E25">
        <f>D25*$C$13</f>
        <v>240</v>
      </c>
      <c r="F25" s="9">
        <f>$C$25*$E$25</f>
        <v>48924</v>
      </c>
      <c r="G25" s="10">
        <f>D25*$C$14</f>
        <v>160</v>
      </c>
      <c r="H25" s="9">
        <f>G25*C25</f>
        <v>32616</v>
      </c>
    </row>
    <row r="26" spans="1:9">
      <c r="A26" s="490"/>
      <c r="B26" s="490"/>
      <c r="C26" s="493"/>
      <c r="D26">
        <f>G5</f>
        <v>25</v>
      </c>
      <c r="E26">
        <f>D26*$C$13</f>
        <v>75</v>
      </c>
      <c r="F26" s="9">
        <f>$C$25*E26</f>
        <v>15288.75</v>
      </c>
      <c r="G26" s="10">
        <f>D26*$C$14</f>
        <v>50</v>
      </c>
      <c r="H26" s="9">
        <f>G26*C25</f>
        <v>10192.5</v>
      </c>
    </row>
    <row r="27" spans="1:9">
      <c r="C27" s="11" t="s">
        <v>21</v>
      </c>
      <c r="D27" s="1">
        <f t="shared" ref="D27:H27" si="0">SUM(D25:D26)</f>
        <v>105</v>
      </c>
      <c r="E27" s="1">
        <f t="shared" si="0"/>
        <v>315</v>
      </c>
      <c r="F27" s="12">
        <f t="shared" si="0"/>
        <v>64212.75</v>
      </c>
      <c r="G27" s="13">
        <f t="shared" si="0"/>
        <v>210</v>
      </c>
      <c r="H27" s="12">
        <f t="shared" si="0"/>
        <v>42808.5</v>
      </c>
    </row>
    <row r="28" spans="1:9">
      <c r="C28" s="250" t="s">
        <v>371</v>
      </c>
      <c r="D28" s="1"/>
      <c r="E28" s="1"/>
      <c r="F28" s="12"/>
      <c r="G28" s="13"/>
      <c r="H28" s="12"/>
    </row>
    <row r="29" spans="1:9">
      <c r="A29" t="s">
        <v>30</v>
      </c>
      <c r="C29" s="4"/>
    </row>
    <row r="30" spans="1:9">
      <c r="A30" t="s">
        <v>32</v>
      </c>
      <c r="B30" s="9">
        <f>B31/B11</f>
        <v>-779957.89772727282</v>
      </c>
      <c r="C30" s="4" t="s">
        <v>367</v>
      </c>
      <c r="F30" s="14">
        <f>B30/347</f>
        <v>-2247.7172845166365</v>
      </c>
    </row>
    <row r="31" spans="1:9">
      <c r="A31" t="s">
        <v>33</v>
      </c>
      <c r="B31" s="9">
        <f>0-SUM(F27*D15)+(H27*D16)</f>
        <v>-10295444.25</v>
      </c>
    </row>
    <row r="32" spans="1:9">
      <c r="B32" s="9"/>
    </row>
    <row r="33" spans="1:11">
      <c r="A33" s="24" t="s">
        <v>35</v>
      </c>
      <c r="B33" s="15"/>
      <c r="C33" s="15"/>
      <c r="D33" s="15"/>
      <c r="E33" s="15"/>
      <c r="F33" s="15"/>
      <c r="G33" s="15"/>
      <c r="H33" s="15"/>
      <c r="I33" s="15"/>
    </row>
    <row r="34" spans="1:11">
      <c r="A34" t="s">
        <v>40</v>
      </c>
      <c r="B34">
        <v>0.1714</v>
      </c>
      <c r="C34" t="s">
        <v>38</v>
      </c>
      <c r="D34" s="22" t="s">
        <v>36</v>
      </c>
      <c r="E34" t="s">
        <v>39</v>
      </c>
      <c r="K34" s="25" t="s">
        <v>37</v>
      </c>
    </row>
    <row r="35" spans="1:11">
      <c r="D35" s="22"/>
      <c r="K35" s="25"/>
    </row>
    <row r="36" spans="1:11">
      <c r="A36" s="24" t="s">
        <v>49</v>
      </c>
      <c r="B36" s="15"/>
      <c r="C36" s="15"/>
      <c r="D36" s="40"/>
      <c r="E36" s="15"/>
      <c r="F36" s="15"/>
      <c r="G36" s="15"/>
      <c r="H36" s="15"/>
      <c r="I36" s="15"/>
      <c r="K36" s="25"/>
    </row>
    <row r="37" spans="1:11">
      <c r="A37" t="s">
        <v>43</v>
      </c>
      <c r="B37">
        <v>2.5020000000000001E-2</v>
      </c>
      <c r="C37" t="s">
        <v>41</v>
      </c>
      <c r="D37" s="22" t="s">
        <v>36</v>
      </c>
      <c r="E37" t="s">
        <v>39</v>
      </c>
    </row>
    <row r="38" spans="1:11">
      <c r="A38" t="s">
        <v>44</v>
      </c>
      <c r="B38">
        <v>3.46E-3</v>
      </c>
      <c r="C38" t="s">
        <v>41</v>
      </c>
    </row>
    <row r="39" spans="1:11">
      <c r="A39" t="s">
        <v>47</v>
      </c>
      <c r="B39">
        <f>B37+B38</f>
        <v>2.8480000000000002E-2</v>
      </c>
    </row>
    <row r="40" spans="1:11">
      <c r="A40" t="s">
        <v>45</v>
      </c>
      <c r="B40">
        <v>5.2739999999999995E-2</v>
      </c>
      <c r="C40" t="s">
        <v>42</v>
      </c>
    </row>
    <row r="41" spans="1:11">
      <c r="A41" t="s">
        <v>46</v>
      </c>
      <c r="B41">
        <v>7.2899999999999996E-3</v>
      </c>
      <c r="C41" t="s">
        <v>42</v>
      </c>
    </row>
    <row r="42" spans="1:11">
      <c r="A42" t="s">
        <v>48</v>
      </c>
      <c r="B42">
        <f>B40+B41</f>
        <v>6.0029999999999993E-2</v>
      </c>
      <c r="C42" s="4"/>
      <c r="D42" s="14"/>
    </row>
    <row r="43" spans="1:11">
      <c r="C43" s="4"/>
      <c r="D43" s="14"/>
    </row>
    <row r="44" spans="1:11">
      <c r="A44" t="s">
        <v>52</v>
      </c>
      <c r="B44" s="28">
        <f>SUM((B39*B7)-(B42*B8))+B34</f>
        <v>0.14234849999999999</v>
      </c>
      <c r="C44" s="4" t="s">
        <v>54</v>
      </c>
      <c r="D44" s="14"/>
    </row>
    <row r="45" spans="1:11">
      <c r="B45" s="5"/>
      <c r="C45" s="4"/>
      <c r="D45" s="14"/>
    </row>
    <row r="46" spans="1:11">
      <c r="C46" s="4"/>
      <c r="D46" s="14"/>
    </row>
    <row r="47" spans="1:11" s="42" customFormat="1">
      <c r="A47" s="41" t="s">
        <v>22</v>
      </c>
      <c r="C47" s="43"/>
      <c r="D47" s="44"/>
    </row>
    <row r="48" spans="1:11">
      <c r="C48" s="4"/>
      <c r="D48" s="14"/>
    </row>
    <row r="49" spans="1:5">
      <c r="A49" s="6" t="s">
        <v>53</v>
      </c>
      <c r="B49" s="6"/>
      <c r="C49" s="6"/>
      <c r="D49" s="6"/>
      <c r="E49" s="6"/>
    </row>
    <row r="50" spans="1:5">
      <c r="A50" s="6" t="s">
        <v>23</v>
      </c>
      <c r="B50" s="6" t="s">
        <v>24</v>
      </c>
      <c r="C50" s="6" t="s">
        <v>34</v>
      </c>
      <c r="D50" s="6" t="s">
        <v>25</v>
      </c>
    </row>
    <row r="51" spans="1:5">
      <c r="A51">
        <v>2022</v>
      </c>
      <c r="B51" s="14">
        <f t="shared" ref="B51:B70" si="1">0-$B$30</f>
        <v>779957.89772727282</v>
      </c>
      <c r="C51" s="14">
        <f t="shared" ref="C51:C70" si="2">0-$B$31</f>
        <v>10295444.25</v>
      </c>
      <c r="D51" s="14">
        <f t="shared" ref="D51:D70" si="3">C51*($B$44/1000)</f>
        <v>1465.541045821125</v>
      </c>
    </row>
    <row r="52" spans="1:5">
      <c r="A52">
        <v>2023</v>
      </c>
      <c r="B52" s="14">
        <f t="shared" si="1"/>
        <v>779957.89772727282</v>
      </c>
      <c r="C52" s="14">
        <f t="shared" si="2"/>
        <v>10295444.25</v>
      </c>
      <c r="D52" s="14">
        <f t="shared" si="3"/>
        <v>1465.541045821125</v>
      </c>
    </row>
    <row r="53" spans="1:5">
      <c r="A53">
        <v>2024</v>
      </c>
      <c r="B53" s="14">
        <f t="shared" si="1"/>
        <v>779957.89772727282</v>
      </c>
      <c r="C53" s="14">
        <f t="shared" si="2"/>
        <v>10295444.25</v>
      </c>
      <c r="D53" s="14">
        <f t="shared" si="3"/>
        <v>1465.541045821125</v>
      </c>
    </row>
    <row r="54" spans="1:5">
      <c r="A54">
        <v>2025</v>
      </c>
      <c r="B54" s="14">
        <f t="shared" si="1"/>
        <v>779957.89772727282</v>
      </c>
      <c r="C54" s="14">
        <f t="shared" si="2"/>
        <v>10295444.25</v>
      </c>
      <c r="D54" s="14">
        <f t="shared" si="3"/>
        <v>1465.541045821125</v>
      </c>
    </row>
    <row r="55" spans="1:5">
      <c r="A55">
        <v>2026</v>
      </c>
      <c r="B55" s="14">
        <f t="shared" si="1"/>
        <v>779957.89772727282</v>
      </c>
      <c r="C55" s="14">
        <f t="shared" si="2"/>
        <v>10295444.25</v>
      </c>
      <c r="D55" s="14">
        <f t="shared" si="3"/>
        <v>1465.541045821125</v>
      </c>
    </row>
    <row r="56" spans="1:5">
      <c r="A56">
        <v>2027</v>
      </c>
      <c r="B56" s="14">
        <f t="shared" si="1"/>
        <v>779957.89772727282</v>
      </c>
      <c r="C56" s="14">
        <f t="shared" si="2"/>
        <v>10295444.25</v>
      </c>
      <c r="D56" s="14">
        <f t="shared" si="3"/>
        <v>1465.541045821125</v>
      </c>
    </row>
    <row r="57" spans="1:5">
      <c r="A57">
        <v>2028</v>
      </c>
      <c r="B57" s="14">
        <f t="shared" si="1"/>
        <v>779957.89772727282</v>
      </c>
      <c r="C57" s="14">
        <f t="shared" si="2"/>
        <v>10295444.25</v>
      </c>
      <c r="D57" s="14">
        <f t="shared" si="3"/>
        <v>1465.541045821125</v>
      </c>
    </row>
    <row r="58" spans="1:5">
      <c r="A58">
        <v>2029</v>
      </c>
      <c r="B58" s="14">
        <f t="shared" si="1"/>
        <v>779957.89772727282</v>
      </c>
      <c r="C58" s="14">
        <f t="shared" si="2"/>
        <v>10295444.25</v>
      </c>
      <c r="D58" s="14">
        <f t="shared" si="3"/>
        <v>1465.541045821125</v>
      </c>
    </row>
    <row r="59" spans="1:5">
      <c r="A59">
        <v>2030</v>
      </c>
      <c r="B59" s="14">
        <f t="shared" si="1"/>
        <v>779957.89772727282</v>
      </c>
      <c r="C59" s="14">
        <f t="shared" si="2"/>
        <v>10295444.25</v>
      </c>
      <c r="D59" s="14">
        <f t="shared" si="3"/>
        <v>1465.541045821125</v>
      </c>
    </row>
    <row r="60" spans="1:5">
      <c r="A60">
        <v>2031</v>
      </c>
      <c r="B60" s="14">
        <f t="shared" si="1"/>
        <v>779957.89772727282</v>
      </c>
      <c r="C60" s="14">
        <f t="shared" si="2"/>
        <v>10295444.25</v>
      </c>
      <c r="D60" s="14">
        <f t="shared" si="3"/>
        <v>1465.541045821125</v>
      </c>
    </row>
    <row r="61" spans="1:5">
      <c r="A61">
        <v>2032</v>
      </c>
      <c r="B61" s="14">
        <f t="shared" si="1"/>
        <v>779957.89772727282</v>
      </c>
      <c r="C61" s="14">
        <f t="shared" si="2"/>
        <v>10295444.25</v>
      </c>
      <c r="D61" s="14">
        <f t="shared" si="3"/>
        <v>1465.541045821125</v>
      </c>
    </row>
    <row r="62" spans="1:5">
      <c r="A62">
        <v>2033</v>
      </c>
      <c r="B62" s="14">
        <f t="shared" si="1"/>
        <v>779957.89772727282</v>
      </c>
      <c r="C62" s="14">
        <f t="shared" si="2"/>
        <v>10295444.25</v>
      </c>
      <c r="D62" s="14">
        <f t="shared" si="3"/>
        <v>1465.541045821125</v>
      </c>
    </row>
    <row r="63" spans="1:5">
      <c r="A63">
        <v>2034</v>
      </c>
      <c r="B63" s="14">
        <f t="shared" si="1"/>
        <v>779957.89772727282</v>
      </c>
      <c r="C63" s="14">
        <f t="shared" si="2"/>
        <v>10295444.25</v>
      </c>
      <c r="D63" s="14">
        <f t="shared" si="3"/>
        <v>1465.541045821125</v>
      </c>
    </row>
    <row r="64" spans="1:5">
      <c r="A64">
        <v>2035</v>
      </c>
      <c r="B64" s="14">
        <f t="shared" si="1"/>
        <v>779957.89772727282</v>
      </c>
      <c r="C64" s="14">
        <f t="shared" si="2"/>
        <v>10295444.25</v>
      </c>
      <c r="D64" s="14">
        <f t="shared" si="3"/>
        <v>1465.541045821125</v>
      </c>
    </row>
    <row r="65" spans="1:10">
      <c r="A65">
        <v>2036</v>
      </c>
      <c r="B65" s="14">
        <f t="shared" si="1"/>
        <v>779957.89772727282</v>
      </c>
      <c r="C65" s="14">
        <f t="shared" si="2"/>
        <v>10295444.25</v>
      </c>
      <c r="D65" s="14">
        <f t="shared" si="3"/>
        <v>1465.541045821125</v>
      </c>
    </row>
    <row r="66" spans="1:10">
      <c r="A66">
        <v>2037</v>
      </c>
      <c r="B66" s="14">
        <f t="shared" si="1"/>
        <v>779957.89772727282</v>
      </c>
      <c r="C66" s="14">
        <f t="shared" si="2"/>
        <v>10295444.25</v>
      </c>
      <c r="D66" s="14">
        <f t="shared" si="3"/>
        <v>1465.541045821125</v>
      </c>
    </row>
    <row r="67" spans="1:10">
      <c r="A67">
        <v>2038</v>
      </c>
      <c r="B67" s="14">
        <f t="shared" si="1"/>
        <v>779957.89772727282</v>
      </c>
      <c r="C67" s="14">
        <f t="shared" si="2"/>
        <v>10295444.25</v>
      </c>
      <c r="D67" s="14">
        <f t="shared" si="3"/>
        <v>1465.541045821125</v>
      </c>
    </row>
    <row r="68" spans="1:10">
      <c r="A68">
        <v>2039</v>
      </c>
      <c r="B68" s="14">
        <f t="shared" si="1"/>
        <v>779957.89772727282</v>
      </c>
      <c r="C68" s="14">
        <f t="shared" si="2"/>
        <v>10295444.25</v>
      </c>
      <c r="D68" s="14">
        <f t="shared" si="3"/>
        <v>1465.541045821125</v>
      </c>
    </row>
    <row r="69" spans="1:10">
      <c r="A69">
        <v>2040</v>
      </c>
      <c r="B69" s="14">
        <f t="shared" si="1"/>
        <v>779957.89772727282</v>
      </c>
      <c r="C69" s="14">
        <f t="shared" si="2"/>
        <v>10295444.25</v>
      </c>
      <c r="D69" s="14">
        <f t="shared" si="3"/>
        <v>1465.541045821125</v>
      </c>
    </row>
    <row r="70" spans="1:10">
      <c r="A70">
        <v>2041</v>
      </c>
      <c r="B70" s="14">
        <f t="shared" si="1"/>
        <v>779957.89772727282</v>
      </c>
      <c r="C70" s="14">
        <f t="shared" si="2"/>
        <v>10295444.25</v>
      </c>
      <c r="D70" s="14">
        <f t="shared" si="3"/>
        <v>1465.541045821125</v>
      </c>
    </row>
    <row r="71" spans="1:10">
      <c r="A71" s="11" t="s">
        <v>21</v>
      </c>
      <c r="B71" s="14">
        <f>SUM(B51:B70)</f>
        <v>15599157.954545461</v>
      </c>
      <c r="C71" s="14">
        <f>SUM(C51:C70)</f>
        <v>205908885</v>
      </c>
      <c r="D71" s="14">
        <f>SUM(D51:D70)</f>
        <v>29310.820916422508</v>
      </c>
    </row>
    <row r="73" spans="1:10">
      <c r="A73" t="s">
        <v>78</v>
      </c>
    </row>
    <row r="75" spans="1:10" ht="28.8">
      <c r="A75" t="s">
        <v>26</v>
      </c>
      <c r="B75" s="103" t="s">
        <v>60</v>
      </c>
      <c r="C75" s="256" t="s">
        <v>424</v>
      </c>
      <c r="D75" s="256" t="s">
        <v>27</v>
      </c>
      <c r="E75" s="103" t="s">
        <v>62</v>
      </c>
      <c r="F75" s="255" t="s">
        <v>425</v>
      </c>
      <c r="G75" s="256" t="s">
        <v>27</v>
      </c>
      <c r="H75" s="96" t="s">
        <v>391</v>
      </c>
      <c r="I75" s="96" t="s">
        <v>392</v>
      </c>
      <c r="J75" s="275" t="s">
        <v>27</v>
      </c>
    </row>
    <row r="76" spans="1:10">
      <c r="A76">
        <f t="shared" ref="A76:A95" si="4">A51</f>
        <v>2022</v>
      </c>
      <c r="B76" s="16">
        <f>SUM('Assumptions + TAG factors'!E17*$C51)/100</f>
        <v>76077.672246782531</v>
      </c>
      <c r="C76" s="18">
        <f>B76/'Assumptions + TAG factors'!C87*'Assumptions + TAG factors'!$C$83</f>
        <v>61364.815820276548</v>
      </c>
      <c r="D76" s="18">
        <f>C76*'Assumptions + TAG factors'!C51</f>
        <v>61364.815820276548</v>
      </c>
      <c r="E76" s="16">
        <f>SUM('Assumptions + TAG factors'!G17*$C51)/100</f>
        <v>90398.041302911428</v>
      </c>
      <c r="F76" s="18">
        <f>E76/'Assumptions + TAG factors'!C87*'Assumptions + TAG factors'!$C$83</f>
        <v>72915.731925558706</v>
      </c>
      <c r="G76" s="18">
        <f>F76*'Assumptions + TAG factors'!C51</f>
        <v>72915.731925558706</v>
      </c>
      <c r="H76" s="18">
        <f>SUM(B76+E76)</f>
        <v>166475.71354969396</v>
      </c>
      <c r="I76" s="18">
        <f>SUM(C76+F76)</f>
        <v>134280.54774583527</v>
      </c>
      <c r="J76" s="18">
        <f>SUM(D76+G76)</f>
        <v>134280.54774583527</v>
      </c>
    </row>
    <row r="77" spans="1:10">
      <c r="A77">
        <f t="shared" si="4"/>
        <v>2023</v>
      </c>
      <c r="B77" s="16">
        <f>SUM('Assumptions + TAG factors'!E18*$C52)/100</f>
        <v>76077.672246782531</v>
      </c>
      <c r="C77" s="18">
        <f>B77/'Assumptions + TAG factors'!C88*'Assumptions + TAG factors'!$C$83</f>
        <v>60309.734702000511</v>
      </c>
      <c r="D77" s="18">
        <f>C77*'Assumptions + TAG factors'!C52</f>
        <v>58198.893987430492</v>
      </c>
      <c r="E77" s="16">
        <f>SUM('Assumptions + TAG factors'!G18*$C52)/100</f>
        <v>90398.041302911428</v>
      </c>
      <c r="F77" s="18">
        <f>E77/'Assumptions + TAG factors'!C88*'Assumptions + TAG factors'!$C$83</f>
        <v>71662.049160417679</v>
      </c>
      <c r="G77" s="18">
        <f>F77*'Assumptions + TAG factors'!C52</f>
        <v>69153.877439803051</v>
      </c>
      <c r="H77" s="18">
        <f t="shared" ref="H77:H95" si="5">SUM(B77+E77)</f>
        <v>166475.71354969396</v>
      </c>
      <c r="I77" s="18">
        <f t="shared" ref="I77:I95" si="6">SUM(C77+F77)</f>
        <v>131971.7838624182</v>
      </c>
      <c r="J77" s="18">
        <f t="shared" ref="J77:J95" si="7">SUM(D77+G77)</f>
        <v>127352.77142723354</v>
      </c>
    </row>
    <row r="78" spans="1:10">
      <c r="A78">
        <f t="shared" si="4"/>
        <v>2024</v>
      </c>
      <c r="B78" s="16">
        <f>SUM('Assumptions + TAG factors'!E19*$C53)/100</f>
        <v>76077.672246782531</v>
      </c>
      <c r="C78" s="18">
        <f>B78/'Assumptions + TAG factors'!C89*'Assumptions + TAG factors'!$C$83</f>
        <v>59042.959241407319</v>
      </c>
      <c r="D78" s="18">
        <f>C78*'Assumptions + TAG factors'!C53</f>
        <v>54982.279719579528</v>
      </c>
      <c r="E78" s="16">
        <f>SUM('Assumptions + TAG factors'!G19*$C53)/100</f>
        <v>90398.041302911428</v>
      </c>
      <c r="F78" s="18">
        <f>E78/'Assumptions + TAG factors'!C89*'Assumptions + TAG factors'!$C$83</f>
        <v>70156.824078914724</v>
      </c>
      <c r="G78" s="18">
        <f>F78*'Assumptions + TAG factors'!C53</f>
        <v>65331.788502887364</v>
      </c>
      <c r="H78" s="18">
        <f t="shared" si="5"/>
        <v>166475.71354969396</v>
      </c>
      <c r="I78" s="18">
        <f t="shared" si="6"/>
        <v>129199.78332032205</v>
      </c>
      <c r="J78" s="18">
        <f t="shared" si="7"/>
        <v>120314.06822246689</v>
      </c>
    </row>
    <row r="79" spans="1:10">
      <c r="A79">
        <f t="shared" si="4"/>
        <v>2025</v>
      </c>
      <c r="B79" s="16">
        <f>SUM('Assumptions + TAG factors'!E20*$C54)/100</f>
        <v>70425.873172902866</v>
      </c>
      <c r="C79" s="18">
        <f>B79/'Assumptions + TAG factors'!C90*'Assumptions + TAG factors'!$C$83</f>
        <v>53516.924087910571</v>
      </c>
      <c r="D79" s="18">
        <f>C79*'Assumptions + TAG factors'!C54</f>
        <v>48092.027216582755</v>
      </c>
      <c r="E79" s="16">
        <f>SUM('Assumptions + TAG factors'!G20*$C54)/100</f>
        <v>85424.367098056988</v>
      </c>
      <c r="F79" s="18">
        <f>E79/'Assumptions + TAG factors'!C90*'Assumptions + TAG factors'!$C$83</f>
        <v>64914.344164688519</v>
      </c>
      <c r="G79" s="18">
        <f>F79*'Assumptions + TAG factors'!C54</f>
        <v>58334.115039695389</v>
      </c>
      <c r="H79" s="18">
        <f t="shared" si="5"/>
        <v>155850.24027095985</v>
      </c>
      <c r="I79" s="18">
        <f t="shared" si="6"/>
        <v>118431.26825259908</v>
      </c>
      <c r="J79" s="18">
        <f t="shared" si="7"/>
        <v>106426.14225627814</v>
      </c>
    </row>
    <row r="80" spans="1:10">
      <c r="A80">
        <f t="shared" si="4"/>
        <v>2026</v>
      </c>
      <c r="B80" s="16">
        <f>SUM('Assumptions + TAG factors'!E21*$C55)/100</f>
        <v>70425.873172902866</v>
      </c>
      <c r="C80" s="18">
        <f>B80/'Assumptions + TAG factors'!C91*'Assumptions + TAG factors'!$C$83</f>
        <v>52313.708785836345</v>
      </c>
      <c r="D80" s="18">
        <f>C80*'Assumptions + TAG factors'!C55</f>
        <v>45365.402017597626</v>
      </c>
      <c r="E80" s="16">
        <f>SUM('Assumptions + TAG factors'!G21*$C55)/100</f>
        <v>85424.367098056988</v>
      </c>
      <c r="F80" s="18">
        <f>E80/'Assumptions + TAG factors'!C91*'Assumptions + TAG factors'!$C$83</f>
        <v>63454.88188141596</v>
      </c>
      <c r="G80" s="18">
        <f>F80*'Assumptions + TAG factors'!C55</f>
        <v>55026.804509585585</v>
      </c>
      <c r="H80" s="18">
        <f t="shared" si="5"/>
        <v>155850.24027095985</v>
      </c>
      <c r="I80" s="18">
        <f t="shared" si="6"/>
        <v>115768.59066725231</v>
      </c>
      <c r="J80" s="18">
        <f t="shared" si="7"/>
        <v>100392.20652718321</v>
      </c>
    </row>
    <row r="81" spans="1:16">
      <c r="A81">
        <f t="shared" si="4"/>
        <v>2027</v>
      </c>
      <c r="B81" s="16">
        <f>SUM('Assumptions + TAG factors'!E22*$C56)/100</f>
        <v>70425.873172902866</v>
      </c>
      <c r="C81" s="18">
        <f>B81/'Assumptions + TAG factors'!C92*'Assumptions + TAG factors'!$C$83</f>
        <v>51137.54524519683</v>
      </c>
      <c r="D81" s="18">
        <f>C81*'Assumptions + TAG factors'!C56</f>
        <v>42793.365539571569</v>
      </c>
      <c r="E81" s="16">
        <f>SUM('Assumptions + TAG factors'!G22*$C56)/100</f>
        <v>85424.367098056988</v>
      </c>
      <c r="F81" s="18">
        <f>E81/'Assumptions + TAG factors'!C92*'Assumptions + TAG factors'!$C$83</f>
        <v>62028.232533153445</v>
      </c>
      <c r="G81" s="18">
        <f>F81*'Assumptions + TAG factors'!C56</f>
        <v>51907.005231427276</v>
      </c>
      <c r="H81" s="18">
        <f t="shared" si="5"/>
        <v>155850.24027095985</v>
      </c>
      <c r="I81" s="18">
        <f t="shared" si="6"/>
        <v>113165.77777835028</v>
      </c>
      <c r="J81" s="18">
        <f t="shared" si="7"/>
        <v>94700.370770998852</v>
      </c>
    </row>
    <row r="82" spans="1:16">
      <c r="A82">
        <f t="shared" si="4"/>
        <v>2028</v>
      </c>
      <c r="B82" s="16">
        <f>SUM('Assumptions + TAG factors'!E23*$C57)/100</f>
        <v>70425.873172902866</v>
      </c>
      <c r="C82" s="18">
        <f>B82/'Assumptions + TAG factors'!C93*'Assumptions + TAG factors'!$C$83</f>
        <v>49987.825264122024</v>
      </c>
      <c r="D82" s="18">
        <f>C82*'Assumptions + TAG factors'!C57</f>
        <v>40367.153221589993</v>
      </c>
      <c r="E82" s="16">
        <f>SUM('Assumptions + TAG factors'!G23*$C57)/100</f>
        <v>85424.367098056988</v>
      </c>
      <c r="F82" s="18">
        <f>E82/'Assumptions + TAG factors'!C93*'Assumptions + TAG factors'!$C$83</f>
        <v>60633.658390179335</v>
      </c>
      <c r="G82" s="18">
        <f>F82*'Assumptions + TAG factors'!C57</f>
        <v>48964.086068746168</v>
      </c>
      <c r="H82" s="18">
        <f t="shared" si="5"/>
        <v>155850.24027095985</v>
      </c>
      <c r="I82" s="18">
        <f t="shared" si="6"/>
        <v>110621.48365430135</v>
      </c>
      <c r="J82" s="18">
        <f t="shared" si="7"/>
        <v>89331.239290336162</v>
      </c>
    </row>
    <row r="83" spans="1:16">
      <c r="A83">
        <f t="shared" si="4"/>
        <v>2029</v>
      </c>
      <c r="B83" s="16">
        <f>SUM('Assumptions + TAG factors'!E24*$C58)/100</f>
        <v>70425.873172902866</v>
      </c>
      <c r="C83" s="18">
        <f>B83/'Assumptions + TAG factors'!C94*'Assumptions + TAG factors'!$C$83</f>
        <v>48863.954314879797</v>
      </c>
      <c r="D83" s="18">
        <f>C83*'Assumptions + TAG factors'!C58</f>
        <v>38078.497418215396</v>
      </c>
      <c r="E83" s="16">
        <f>SUM('Assumptions + TAG factors'!G24*$C58)/100</f>
        <v>85424.367098056988</v>
      </c>
      <c r="F83" s="18">
        <f>E83/'Assumptions + TAG factors'!C94*'Assumptions + TAG factors'!$C$83</f>
        <v>59270.438309070712</v>
      </c>
      <c r="G83" s="18">
        <f>F83*'Assumptions + TAG factors'!C58</f>
        <v>46188.018627898389</v>
      </c>
      <c r="H83" s="18">
        <f t="shared" si="5"/>
        <v>155850.24027095985</v>
      </c>
      <c r="I83" s="18">
        <f t="shared" si="6"/>
        <v>108134.39262395051</v>
      </c>
      <c r="J83" s="18">
        <f t="shared" si="7"/>
        <v>84266.516046113786</v>
      </c>
    </row>
    <row r="84" spans="1:16">
      <c r="A84">
        <f t="shared" si="4"/>
        <v>2030</v>
      </c>
      <c r="B84" s="16">
        <f>SUM('Assumptions + TAG factors'!E25*$C59)/100</f>
        <v>62671.203374976103</v>
      </c>
      <c r="C84" s="18">
        <f>B84/'Assumptions + TAG factors'!C95*'Assumptions + TAG factors'!$C$83</f>
        <v>42505.856253522281</v>
      </c>
      <c r="D84" s="18">
        <f>C84*'Assumptions + TAG factors'!C59</f>
        <v>31964.452932472777</v>
      </c>
      <c r="E84" s="16">
        <f>SUM('Assumptions + TAG factors'!G25*$C59)/100</f>
        <v>79093.762473160794</v>
      </c>
      <c r="F84" s="18">
        <f>E84/'Assumptions + TAG factors'!C95*'Assumptions + TAG factors'!$C$83</f>
        <v>53644.224415464065</v>
      </c>
      <c r="G84" s="18">
        <f>F84*'Assumptions + TAG factors'!C59</f>
        <v>40340.518638182177</v>
      </c>
      <c r="H84" s="18">
        <f t="shared" si="5"/>
        <v>141764.9658481369</v>
      </c>
      <c r="I84" s="18">
        <f t="shared" si="6"/>
        <v>96150.080668986338</v>
      </c>
      <c r="J84" s="18">
        <f t="shared" si="7"/>
        <v>72304.971570654947</v>
      </c>
    </row>
    <row r="85" spans="1:16">
      <c r="A85">
        <f t="shared" si="4"/>
        <v>2031</v>
      </c>
      <c r="B85" s="16">
        <f>SUM('Assumptions + TAG factors'!E26*$C60)/100</f>
        <v>62671.203374976103</v>
      </c>
      <c r="C85" s="18">
        <f>B85/'Assumptions + TAG factors'!C96*'Assumptions + TAG factors'!$C$83</f>
        <v>41550.201616346319</v>
      </c>
      <c r="D85" s="18">
        <f>C85*'Assumptions + TAG factors'!C60</f>
        <v>30152.1965589797</v>
      </c>
      <c r="E85" s="16">
        <f>SUM('Assumptions + TAG factors'!G26*$C60)/100</f>
        <v>79093.762473160794</v>
      </c>
      <c r="F85" s="18">
        <f>E85/'Assumptions + TAG factors'!C96*'Assumptions + TAG factors'!$C$83</f>
        <v>52438.147033689231</v>
      </c>
      <c r="G85" s="18">
        <f>F85*'Assumptions + TAG factors'!C60</f>
        <v>38053.37290894019</v>
      </c>
      <c r="H85" s="18">
        <f t="shared" si="5"/>
        <v>141764.9658481369</v>
      </c>
      <c r="I85" s="18">
        <f t="shared" si="6"/>
        <v>93988.34865003555</v>
      </c>
      <c r="J85" s="18">
        <f t="shared" si="7"/>
        <v>68205.569467919893</v>
      </c>
    </row>
    <row r="86" spans="1:16">
      <c r="A86">
        <f t="shared" si="4"/>
        <v>2032</v>
      </c>
      <c r="B86" s="16">
        <f>SUM('Assumptions + TAG factors'!E27*$C61)/100</f>
        <v>62671.203374976103</v>
      </c>
      <c r="C86" s="18">
        <f>B86/'Assumptions + TAG factors'!C97*'Assumptions + TAG factors'!$C$83</f>
        <v>40616.032860553591</v>
      </c>
      <c r="D86" s="18">
        <f>C86*'Assumptions + TAG factors'!C61</f>
        <v>28442.687858666093</v>
      </c>
      <c r="E86" s="16">
        <f>SUM('Assumptions + TAG factors'!G27*$C61)/100</f>
        <v>79093.762473160794</v>
      </c>
      <c r="F86" s="18">
        <f>E86/'Assumptions + TAG factors'!C97*'Assumptions + TAG factors'!$C$83</f>
        <v>51259.185761182052</v>
      </c>
      <c r="G86" s="18">
        <f>F86*'Assumptions + TAG factors'!C61</f>
        <v>35895.89917607751</v>
      </c>
      <c r="H86" s="18">
        <f t="shared" si="5"/>
        <v>141764.9658481369</v>
      </c>
      <c r="I86" s="18">
        <f t="shared" si="6"/>
        <v>91875.218621735636</v>
      </c>
      <c r="J86" s="18">
        <f t="shared" si="7"/>
        <v>64338.587034743599</v>
      </c>
    </row>
    <row r="87" spans="1:16">
      <c r="A87">
        <f t="shared" si="4"/>
        <v>2033</v>
      </c>
      <c r="B87" s="16">
        <f>SUM('Assumptions + TAG factors'!E28*$C62)/100</f>
        <v>62671.203374976103</v>
      </c>
      <c r="C87" s="18">
        <f>B87/'Assumptions + TAG factors'!C98*'Assumptions + TAG factors'!$C$83</f>
        <v>39702.866921362263</v>
      </c>
      <c r="D87" s="18">
        <f>C87*'Assumptions + TAG factors'!C62</f>
        <v>26830.101450256876</v>
      </c>
      <c r="E87" s="16">
        <f>SUM('Assumptions + TAG factors'!G28*$C62)/100</f>
        <v>79093.762473160794</v>
      </c>
      <c r="F87" s="18">
        <f>E87/'Assumptions + TAG factors'!C98*'Assumptions + TAG factors'!$C$83</f>
        <v>50106.730949347068</v>
      </c>
      <c r="G87" s="18">
        <f>F87*'Assumptions + TAG factors'!C62</f>
        <v>33860.745557101458</v>
      </c>
      <c r="H87" s="18">
        <f t="shared" si="5"/>
        <v>141764.9658481369</v>
      </c>
      <c r="I87" s="18">
        <f t="shared" si="6"/>
        <v>89809.597870709331</v>
      </c>
      <c r="J87" s="18">
        <f t="shared" si="7"/>
        <v>60690.84700735833</v>
      </c>
    </row>
    <row r="88" spans="1:16">
      <c r="A88">
        <f t="shared" si="4"/>
        <v>2034</v>
      </c>
      <c r="B88" s="16">
        <f>SUM('Assumptions + TAG factors'!E29*$C63)/100</f>
        <v>62671.203374976103</v>
      </c>
      <c r="C88" s="18">
        <f>B88/'Assumptions + TAG factors'!C99*'Assumptions + TAG factors'!$C$83</f>
        <v>38810.231594684519</v>
      </c>
      <c r="D88" s="18">
        <f>C88*'Assumptions + TAG factors'!C63</f>
        <v>25308.942228248176</v>
      </c>
      <c r="E88" s="16">
        <f>SUM('Assumptions + TAG factors'!G29*$C63)/100</f>
        <v>79093.762473160794</v>
      </c>
      <c r="F88" s="18">
        <f>E88/'Assumptions + TAG factors'!C99*'Assumptions + TAG factors'!$C$83</f>
        <v>48980.186656253245</v>
      </c>
      <c r="G88" s="18">
        <f>F88*'Assumptions + TAG factors'!C63</f>
        <v>31940.976991791704</v>
      </c>
      <c r="H88" s="18">
        <f t="shared" si="5"/>
        <v>141764.9658481369</v>
      </c>
      <c r="I88" s="18">
        <f t="shared" si="6"/>
        <v>87790.418250937772</v>
      </c>
      <c r="J88" s="18">
        <f t="shared" si="7"/>
        <v>57249.919220039883</v>
      </c>
    </row>
    <row r="89" spans="1:16">
      <c r="A89">
        <f t="shared" si="4"/>
        <v>2035</v>
      </c>
      <c r="B89" s="16">
        <f>SUM('Assumptions + TAG factors'!E30*$C64)/100</f>
        <v>56931.676067692562</v>
      </c>
      <c r="C89" s="18">
        <f>B89/'Assumptions + TAG factors'!C100*'Assumptions + TAG factors'!$C$83</f>
        <v>34463.274277656405</v>
      </c>
      <c r="D89" s="18">
        <f>C89*'Assumptions + TAG factors'!C64</f>
        <v>21687.605754602755</v>
      </c>
      <c r="E89" s="16">
        <f>SUM('Assumptions + TAG factors'!G30*$C64)/100</f>
        <v>100039.59860047493</v>
      </c>
      <c r="F89" s="18">
        <f>E89/'Assumptions + TAG factors'!C100*'Assumptions + TAG factors'!$C$83</f>
        <v>60558.416040579323</v>
      </c>
      <c r="G89" s="18">
        <f>F89*'Assumptions + TAG factors'!C64</f>
        <v>38109.17795070888</v>
      </c>
      <c r="H89" s="18">
        <f t="shared" si="5"/>
        <v>156971.27466816749</v>
      </c>
      <c r="I89" s="18">
        <f t="shared" si="6"/>
        <v>95021.69031823572</v>
      </c>
      <c r="J89" s="18">
        <f t="shared" si="7"/>
        <v>59796.783705311638</v>
      </c>
    </row>
    <row r="90" spans="1:16">
      <c r="A90">
        <f t="shared" si="4"/>
        <v>2036</v>
      </c>
      <c r="B90" s="16">
        <f>SUM('Assumptions + TAG factors'!E31*$C65)/100</f>
        <v>56931.676067692562</v>
      </c>
      <c r="C90" s="18">
        <f>B90/'Assumptions + TAG factors'!C101*'Assumptions + TAG factors'!$C$83</f>
        <v>33688.440154111835</v>
      </c>
      <c r="D90" s="18">
        <f>C90*'Assumptions + TAG factors'!C65</f>
        <v>20458.005428339842</v>
      </c>
      <c r="E90" s="16">
        <f>SUM('Assumptions + TAG factors'!G31*$C65)/100</f>
        <v>100039.59860047493</v>
      </c>
      <c r="F90" s="18">
        <f>E90/'Assumptions + TAG factors'!C101*'Assumptions + TAG factors'!$C$83</f>
        <v>59196.887625199735</v>
      </c>
      <c r="G90" s="18">
        <f>F90*'Assumptions + TAG factors'!C65</f>
        <v>35948.540295634477</v>
      </c>
      <c r="H90" s="18">
        <f t="shared" si="5"/>
        <v>156971.27466816749</v>
      </c>
      <c r="I90" s="18">
        <f t="shared" si="6"/>
        <v>92885.32777931157</v>
      </c>
      <c r="J90" s="18">
        <f t="shared" si="7"/>
        <v>56406.545723974319</v>
      </c>
    </row>
    <row r="91" spans="1:16">
      <c r="A91">
        <f t="shared" si="4"/>
        <v>2037</v>
      </c>
      <c r="B91" s="16">
        <f>SUM('Assumptions + TAG factors'!E32*$C66)/100</f>
        <v>56931.676067692562</v>
      </c>
      <c r="C91" s="18">
        <f>B91/'Assumptions + TAG factors'!C102*'Assumptions + TAG factors'!$C$83</f>
        <v>32931.026543608838</v>
      </c>
      <c r="D91" s="18">
        <f>C91*'Assumptions + TAG factors'!C66</f>
        <v>19298.118512559089</v>
      </c>
      <c r="E91" s="16">
        <f>SUM('Assumptions + TAG factors'!G32*$C66)/100</f>
        <v>100039.59860047493</v>
      </c>
      <c r="F91" s="18">
        <f>E91/'Assumptions + TAG factors'!C102*'Assumptions + TAG factors'!$C$83</f>
        <v>57865.97030811313</v>
      </c>
      <c r="G91" s="18">
        <f>F91*'Assumptions + TAG factors'!C66</f>
        <v>33910.402136155681</v>
      </c>
      <c r="H91" s="18">
        <f t="shared" si="5"/>
        <v>156971.27466816749</v>
      </c>
      <c r="I91" s="18">
        <f t="shared" si="6"/>
        <v>90796.996851721968</v>
      </c>
      <c r="J91" s="18">
        <f t="shared" si="7"/>
        <v>53208.520648714766</v>
      </c>
    </row>
    <row r="92" spans="1:16">
      <c r="A92">
        <f t="shared" si="4"/>
        <v>2038</v>
      </c>
      <c r="B92" s="16">
        <f>SUM('Assumptions + TAG factors'!E33*$C67)/100</f>
        <v>56931.676067692562</v>
      </c>
      <c r="C92" s="18">
        <f>B92/'Assumptions + TAG factors'!C103*'Assumptions + TAG factors'!$C$83</f>
        <v>32190.641782608829</v>
      </c>
      <c r="D92" s="18">
        <f>C92*'Assumptions + TAG factors'!C67</f>
        <v>18203.992536284964</v>
      </c>
      <c r="E92" s="16">
        <f>SUM('Assumptions + TAG factors'!G33*$C67)/100</f>
        <v>100039.59860047493</v>
      </c>
      <c r="F92" s="18">
        <f>E92/'Assumptions + TAG factors'!C103*'Assumptions + TAG factors'!$C$83</f>
        <v>56564.975863258187</v>
      </c>
      <c r="G92" s="18">
        <f>F92*'Assumptions + TAG factors'!C67</f>
        <v>31987.818241828183</v>
      </c>
      <c r="H92" s="18">
        <f t="shared" si="5"/>
        <v>156971.27466816749</v>
      </c>
      <c r="I92" s="18">
        <f t="shared" si="6"/>
        <v>88755.617645867023</v>
      </c>
      <c r="J92" s="18">
        <f t="shared" si="7"/>
        <v>50191.810778113148</v>
      </c>
    </row>
    <row r="93" spans="1:16">
      <c r="A93">
        <f t="shared" si="4"/>
        <v>2039</v>
      </c>
      <c r="B93" s="16">
        <f>SUM('Assumptions + TAG factors'!E34*$C68)/100</f>
        <v>56931.676067692562</v>
      </c>
      <c r="C93" s="18">
        <f>B93/'Assumptions + TAG factors'!C104*'Assumptions + TAG factors'!$C$83</f>
        <v>31466.903013302875</v>
      </c>
      <c r="D93" s="18">
        <f>C93*'Assumptions + TAG factors'!C68</f>
        <v>17171.899117805471</v>
      </c>
      <c r="E93" s="16">
        <f>SUM('Assumptions + TAG factors'!G34*$C68)/100</f>
        <v>100039.59860047493</v>
      </c>
      <c r="F93" s="18">
        <f>E93/'Assumptions + TAG factors'!C104*'Assumptions + TAG factors'!$C$83</f>
        <v>55293.231537886822</v>
      </c>
      <c r="G93" s="18">
        <f>F93*'Assumptions + TAG factors'!C68</f>
        <v>30174.237148938624</v>
      </c>
      <c r="H93" s="18">
        <f t="shared" si="5"/>
        <v>156971.27466816749</v>
      </c>
      <c r="I93" s="18">
        <f t="shared" si="6"/>
        <v>86760.134551189694</v>
      </c>
      <c r="J93" s="18">
        <f t="shared" si="7"/>
        <v>47346.136266744099</v>
      </c>
    </row>
    <row r="94" spans="1:16">
      <c r="A94">
        <f t="shared" si="4"/>
        <v>2040</v>
      </c>
      <c r="B94" s="16">
        <f>SUM('Assumptions + TAG factors'!E35*$C69)/100</f>
        <v>63382.587682517777</v>
      </c>
      <c r="C94" s="18">
        <f>B94/'Assumptions + TAG factors'!C105*'Assumptions + TAG factors'!$C$83</f>
        <v>34244.778708184858</v>
      </c>
      <c r="D94" s="18">
        <f>C94*'Assumptions + TAG factors'!C69</f>
        <v>18033.748318464135</v>
      </c>
      <c r="E94" s="16">
        <f>SUM('Assumptions + TAG factors'!G35*$C69)/100</f>
        <v>117678.91126392764</v>
      </c>
      <c r="F94" s="18">
        <f>E94/'Assumptions + TAG factors'!C105*'Assumptions + TAG factors'!$C$83</f>
        <v>63580.368397689301</v>
      </c>
      <c r="G94" s="18">
        <f>F94*'Assumptions + TAG factors'!C69</f>
        <v>33482.25349767298</v>
      </c>
      <c r="H94" s="18">
        <f t="shared" si="5"/>
        <v>181061.49894644541</v>
      </c>
      <c r="I94" s="18">
        <f t="shared" si="6"/>
        <v>97825.147105874159</v>
      </c>
      <c r="J94" s="18">
        <f t="shared" si="7"/>
        <v>51516.001816137112</v>
      </c>
      <c r="L94" s="20" t="s">
        <v>500</v>
      </c>
      <c r="M94" s="21"/>
      <c r="N94" s="21"/>
      <c r="O94" s="21"/>
    </row>
    <row r="95" spans="1:16">
      <c r="A95">
        <f t="shared" si="4"/>
        <v>2041</v>
      </c>
      <c r="B95" s="16">
        <f>SUM('Assumptions + TAG factors'!E36*$C70)/100</f>
        <v>63382.587682517777</v>
      </c>
      <c r="C95" s="18">
        <f>B95/'Assumptions + TAG factors'!C106*'Assumptions + TAG factors'!$C$83</f>
        <v>33474.856997248156</v>
      </c>
      <c r="D95" s="18">
        <f>C95*'Assumptions + TAG factors'!C70</f>
        <v>17011.307064826877</v>
      </c>
      <c r="E95" s="16">
        <f>SUM('Assumptions + TAG factors'!G36*$C70)/100</f>
        <v>117678.91126392764</v>
      </c>
      <c r="F95" s="18">
        <f>E95/'Assumptions + TAG factors'!C106*'Assumptions + TAG factors'!$C$83</f>
        <v>62150.89774945192</v>
      </c>
      <c r="G95" s="18">
        <f>F95*'Assumptions + TAG factors'!C70</f>
        <v>31583.943915204723</v>
      </c>
      <c r="H95" s="18">
        <f t="shared" si="5"/>
        <v>181061.49894644541</v>
      </c>
      <c r="I95" s="18">
        <f t="shared" si="6"/>
        <v>95625.754746700084</v>
      </c>
      <c r="J95" s="18">
        <f t="shared" si="7"/>
        <v>48595.250980031604</v>
      </c>
    </row>
    <row r="96" spans="1:16">
      <c r="B96" s="16">
        <f>SUM(B76:B95)</f>
        <v>1305141.9551832401</v>
      </c>
      <c r="C96" s="17">
        <f t="shared" ref="C96" si="8">SUM(C76:C95)</f>
        <v>872182.57818482071</v>
      </c>
      <c r="D96" s="277">
        <f t="shared" ref="D96:J96" si="9">SUM(D76:D95)</f>
        <v>663805.4927023506</v>
      </c>
      <c r="E96" s="16">
        <f t="shared" si="9"/>
        <v>1829340.5872950526</v>
      </c>
      <c r="F96" s="17">
        <f t="shared" si="9"/>
        <v>1196675.3827815133</v>
      </c>
      <c r="G96" s="279">
        <f t="shared" si="9"/>
        <v>883109.31380383845</v>
      </c>
      <c r="H96" s="276">
        <f t="shared" si="9"/>
        <v>3134482.5424782941</v>
      </c>
      <c r="I96" s="276">
        <f t="shared" si="9"/>
        <v>2068857.9609663337</v>
      </c>
      <c r="J96" s="19">
        <f t="shared" si="9"/>
        <v>1546914.8065061891</v>
      </c>
      <c r="K96" s="20" t="s">
        <v>588</v>
      </c>
      <c r="L96" s="21"/>
      <c r="M96" s="21"/>
      <c r="N96" s="21"/>
      <c r="O96" s="21"/>
      <c r="P96" s="21"/>
    </row>
    <row r="97" spans="1:15" ht="28.8">
      <c r="A97" s="22"/>
      <c r="B97" s="23"/>
      <c r="C97" s="23"/>
      <c r="D97" s="278" t="s">
        <v>591</v>
      </c>
      <c r="E97" s="23"/>
      <c r="G97" s="280" t="s">
        <v>590</v>
      </c>
      <c r="J97" s="19">
        <f>B20</f>
        <v>806607.43169454404</v>
      </c>
      <c r="K97" s="20" t="s">
        <v>589</v>
      </c>
      <c r="L97" s="21"/>
      <c r="M97" s="21"/>
      <c r="O97" s="18"/>
    </row>
    <row r="98" spans="1:15">
      <c r="J98" s="260">
        <f>J96/J97</f>
        <v>1.917803811026618</v>
      </c>
      <c r="K98" s="20" t="s">
        <v>416</v>
      </c>
      <c r="L98" s="21"/>
      <c r="M98" s="21"/>
    </row>
    <row r="101" spans="1:15" s="42" customFormat="1">
      <c r="A101" s="42" t="s">
        <v>111</v>
      </c>
    </row>
    <row r="103" spans="1:15" ht="15.6">
      <c r="A103" s="45"/>
      <c r="B103" s="45"/>
      <c r="C103" s="45"/>
      <c r="D103" s="45"/>
      <c r="E103" s="45"/>
      <c r="F103" s="45"/>
      <c r="G103" s="45"/>
      <c r="H103" s="45"/>
      <c r="I103" s="45"/>
      <c r="J103" s="45"/>
    </row>
    <row r="104" spans="1:15" ht="25.8">
      <c r="A104" s="46"/>
      <c r="B104" s="46" t="s">
        <v>79</v>
      </c>
      <c r="C104" s="46"/>
      <c r="D104" s="46"/>
      <c r="E104" s="46"/>
      <c r="F104" s="46"/>
      <c r="G104" s="46"/>
      <c r="H104" s="46"/>
      <c r="I104" s="46"/>
      <c r="J104" s="46"/>
    </row>
    <row r="105" spans="1:15" ht="17.399999999999999">
      <c r="A105" s="45"/>
      <c r="B105" s="45"/>
      <c r="C105" s="45"/>
      <c r="D105" s="45"/>
      <c r="E105" s="45"/>
      <c r="F105" s="45"/>
      <c r="G105" s="45"/>
      <c r="H105" s="47"/>
      <c r="I105" s="45"/>
      <c r="J105" s="48"/>
    </row>
    <row r="106" spans="1:15" ht="17.399999999999999">
      <c r="A106" s="45"/>
      <c r="B106" s="49" t="s">
        <v>80</v>
      </c>
      <c r="C106" s="49"/>
      <c r="D106" s="50"/>
      <c r="E106" s="51" t="s">
        <v>368</v>
      </c>
      <c r="F106" s="45"/>
      <c r="G106" s="45"/>
      <c r="H106" s="47"/>
      <c r="I106" s="45"/>
      <c r="J106" s="48"/>
    </row>
    <row r="107" spans="1:15" ht="18" thickBot="1">
      <c r="A107" s="45"/>
      <c r="B107" s="49"/>
      <c r="C107" s="49"/>
      <c r="D107" s="52"/>
      <c r="E107" s="53"/>
      <c r="F107" s="45"/>
      <c r="G107" s="45"/>
      <c r="H107" s="45"/>
      <c r="I107" s="45"/>
      <c r="J107" s="48"/>
    </row>
    <row r="108" spans="1:15" ht="16.2" thickBot="1">
      <c r="A108" s="45"/>
      <c r="B108" s="49" t="s">
        <v>81</v>
      </c>
      <c r="C108" s="49"/>
      <c r="D108" s="49"/>
      <c r="E108" s="54">
        <v>2010</v>
      </c>
      <c r="F108" s="45"/>
      <c r="G108" s="45"/>
      <c r="H108" s="45"/>
      <c r="I108" s="45"/>
      <c r="J108" s="45"/>
    </row>
    <row r="109" spans="1:15" ht="16.2" thickBot="1">
      <c r="A109" s="45"/>
      <c r="B109" s="49"/>
      <c r="C109" s="49"/>
      <c r="D109" s="49"/>
      <c r="E109" s="55"/>
      <c r="F109" s="45"/>
      <c r="G109" s="45"/>
      <c r="H109" s="45"/>
      <c r="I109" s="45"/>
      <c r="J109" s="45"/>
    </row>
    <row r="110" spans="1:15" ht="16.2" thickBot="1">
      <c r="A110" s="45"/>
      <c r="B110" s="49" t="s">
        <v>82</v>
      </c>
      <c r="C110" s="49"/>
      <c r="D110" s="49"/>
      <c r="E110" s="54">
        <v>2021</v>
      </c>
      <c r="F110" s="45"/>
      <c r="G110" s="45"/>
      <c r="H110" s="45"/>
      <c r="I110" s="45"/>
      <c r="J110" s="45"/>
    </row>
    <row r="111" spans="1:15" ht="16.2" thickBot="1">
      <c r="A111" s="45"/>
      <c r="B111" s="45"/>
      <c r="C111" s="45"/>
      <c r="D111" s="45"/>
      <c r="E111" s="45"/>
      <c r="F111" s="45"/>
      <c r="G111" s="45"/>
      <c r="H111" s="45"/>
      <c r="I111" s="45"/>
      <c r="J111" s="45"/>
    </row>
    <row r="112" spans="1:15" ht="18" thickBot="1">
      <c r="A112" s="45"/>
      <c r="B112" s="49" t="s">
        <v>83</v>
      </c>
      <c r="C112" s="56"/>
      <c r="D112" s="56"/>
      <c r="E112" s="54">
        <v>2022</v>
      </c>
      <c r="F112" s="45"/>
      <c r="G112" s="45"/>
      <c r="H112" s="57" t="s">
        <v>84</v>
      </c>
      <c r="I112" s="45"/>
      <c r="J112" s="45"/>
    </row>
    <row r="113" spans="1:10" ht="18" thickBot="1">
      <c r="A113" s="45"/>
      <c r="B113" s="56"/>
      <c r="C113" s="56"/>
      <c r="D113" s="56"/>
      <c r="E113" s="45"/>
      <c r="F113" s="45"/>
      <c r="G113" s="45"/>
      <c r="H113" s="57" t="s">
        <v>85</v>
      </c>
      <c r="I113" s="45"/>
      <c r="J113" s="48"/>
    </row>
    <row r="114" spans="1:10" ht="18" thickBot="1">
      <c r="A114" s="45"/>
      <c r="B114" s="49" t="s">
        <v>86</v>
      </c>
      <c r="C114" s="56"/>
      <c r="D114" s="56"/>
      <c r="E114" s="54" t="s">
        <v>241</v>
      </c>
      <c r="F114" s="45"/>
      <c r="G114" s="45"/>
      <c r="H114" s="57" t="s">
        <v>87</v>
      </c>
      <c r="I114" s="45"/>
      <c r="J114" s="48"/>
    </row>
    <row r="115" spans="1:10" ht="17.399999999999999">
      <c r="A115" s="45"/>
      <c r="B115" s="49"/>
      <c r="C115" s="56"/>
      <c r="D115" s="56"/>
      <c r="E115" s="48" t="s">
        <v>88</v>
      </c>
      <c r="F115" s="45"/>
      <c r="G115" s="45"/>
      <c r="H115" s="45"/>
      <c r="I115" s="45"/>
      <c r="J115" s="48"/>
    </row>
    <row r="116" spans="1:10" ht="18" thickBot="1">
      <c r="A116" s="45"/>
      <c r="B116" s="49"/>
      <c r="C116" s="56"/>
      <c r="D116" s="56"/>
      <c r="E116" s="48" t="s">
        <v>88</v>
      </c>
      <c r="F116" s="45"/>
      <c r="G116" s="45"/>
      <c r="H116" s="45"/>
      <c r="I116" s="45"/>
      <c r="J116" s="48"/>
    </row>
    <row r="117" spans="1:10" ht="18" thickTop="1">
      <c r="A117" s="45"/>
      <c r="B117" s="58"/>
      <c r="C117" s="58"/>
      <c r="D117" s="58"/>
      <c r="E117" s="58"/>
      <c r="F117" s="58"/>
      <c r="G117" s="58"/>
      <c r="H117" s="58"/>
      <c r="I117" s="58"/>
      <c r="J117" s="48"/>
    </row>
    <row r="118" spans="1:10" ht="18" thickBot="1">
      <c r="A118" s="45"/>
      <c r="B118" s="59" t="s">
        <v>89</v>
      </c>
      <c r="C118" s="60"/>
      <c r="D118" s="60"/>
      <c r="E118" s="60"/>
      <c r="F118" s="60"/>
      <c r="G118" s="60"/>
      <c r="H118" s="60"/>
      <c r="I118" s="61"/>
      <c r="J118" s="48"/>
    </row>
    <row r="119" spans="1:10" ht="18" thickBot="1">
      <c r="A119" s="45"/>
      <c r="B119" s="62" t="s">
        <v>90</v>
      </c>
      <c r="C119" s="63"/>
      <c r="D119" s="63"/>
      <c r="E119" s="63"/>
      <c r="F119" s="64"/>
      <c r="G119" s="65"/>
      <c r="H119" s="45"/>
      <c r="I119" s="66">
        <v>0</v>
      </c>
      <c r="J119" s="48"/>
    </row>
    <row r="120" spans="1:10" ht="20.399999999999999">
      <c r="A120" s="45"/>
      <c r="B120" s="64"/>
      <c r="C120" s="64"/>
      <c r="D120" s="64"/>
      <c r="E120" s="64"/>
      <c r="F120" s="64"/>
      <c r="G120" s="64"/>
      <c r="H120" s="45"/>
      <c r="I120" s="67" t="s">
        <v>91</v>
      </c>
      <c r="J120" s="48"/>
    </row>
    <row r="121" spans="1:10" ht="18" thickBot="1">
      <c r="A121" s="45"/>
      <c r="B121" s="68"/>
      <c r="C121" s="68"/>
      <c r="D121" s="68"/>
      <c r="E121" s="68"/>
      <c r="F121" s="68"/>
      <c r="G121" s="68"/>
      <c r="H121" s="69"/>
      <c r="I121" s="69"/>
      <c r="J121" s="48"/>
    </row>
    <row r="122" spans="1:10" ht="18.600000000000001" thickTop="1" thickBot="1">
      <c r="A122" s="45"/>
      <c r="B122" s="56"/>
      <c r="C122" s="56"/>
      <c r="D122" s="56"/>
      <c r="E122" s="56"/>
      <c r="F122" s="56"/>
      <c r="G122" s="56"/>
      <c r="H122" s="45"/>
      <c r="I122" s="45"/>
      <c r="J122" s="48"/>
    </row>
    <row r="123" spans="1:10" ht="18" thickTop="1">
      <c r="A123" s="45"/>
      <c r="B123" s="70"/>
      <c r="C123" s="70"/>
      <c r="D123" s="70"/>
      <c r="E123" s="70"/>
      <c r="F123" s="70"/>
      <c r="G123" s="70"/>
      <c r="H123" s="71"/>
      <c r="I123" s="71"/>
      <c r="J123" s="48"/>
    </row>
    <row r="124" spans="1:10" ht="17.399999999999999">
      <c r="A124" s="45"/>
      <c r="B124" s="72" t="s">
        <v>92</v>
      </c>
      <c r="C124" s="73"/>
      <c r="D124" s="73"/>
      <c r="E124" s="73"/>
      <c r="F124" s="73"/>
      <c r="G124" s="73"/>
      <c r="H124" s="73"/>
      <c r="I124" s="74"/>
      <c r="J124" s="48"/>
    </row>
    <row r="125" spans="1:10" ht="18" thickBot="1">
      <c r="A125" s="45"/>
      <c r="B125" s="75"/>
      <c r="C125" s="76"/>
      <c r="D125" s="76"/>
      <c r="E125" s="76"/>
      <c r="F125" s="76"/>
      <c r="G125" s="76"/>
      <c r="H125" s="74"/>
      <c r="I125" s="74"/>
      <c r="J125" s="48"/>
    </row>
    <row r="126" spans="1:10" ht="18" thickBot="1">
      <c r="A126" s="45"/>
      <c r="B126" s="75" t="s">
        <v>93</v>
      </c>
      <c r="C126" s="75"/>
      <c r="D126" s="75"/>
      <c r="E126" s="75"/>
      <c r="F126" s="77"/>
      <c r="G126" s="78"/>
      <c r="H126" s="74"/>
      <c r="I126" s="79">
        <v>-25680</v>
      </c>
      <c r="J126" s="48"/>
    </row>
    <row r="127" spans="1:10" ht="17.399999999999999">
      <c r="A127" s="45"/>
      <c r="B127" s="76" t="s">
        <v>94</v>
      </c>
      <c r="C127" s="76"/>
      <c r="D127" s="76"/>
      <c r="E127" s="77"/>
      <c r="F127" s="77"/>
      <c r="G127" s="77"/>
      <c r="H127" s="74"/>
      <c r="I127" s="77"/>
      <c r="J127" s="48"/>
    </row>
    <row r="128" spans="1:10" ht="18" thickBot="1">
      <c r="A128" s="45"/>
      <c r="B128" s="76"/>
      <c r="C128" s="76"/>
      <c r="D128" s="76"/>
      <c r="E128" s="76"/>
      <c r="F128" s="76"/>
      <c r="G128" s="76"/>
      <c r="H128" s="74"/>
      <c r="I128" s="74"/>
      <c r="J128" s="48"/>
    </row>
    <row r="129" spans="1:15" ht="18" thickBot="1">
      <c r="A129" s="45"/>
      <c r="B129" s="80" t="s">
        <v>95</v>
      </c>
      <c r="C129" s="80"/>
      <c r="D129" s="74"/>
      <c r="E129" s="74"/>
      <c r="F129" s="74"/>
      <c r="G129" s="74"/>
      <c r="H129" s="74"/>
      <c r="I129" s="81">
        <v>-25680</v>
      </c>
      <c r="J129" s="48"/>
    </row>
    <row r="130" spans="1:15" ht="18" thickBot="1">
      <c r="A130" s="45"/>
      <c r="B130" s="74"/>
      <c r="C130" s="74"/>
      <c r="D130" s="74"/>
      <c r="E130" s="74"/>
      <c r="F130" s="74"/>
      <c r="G130" s="74"/>
      <c r="H130" s="74"/>
      <c r="I130" s="74"/>
      <c r="J130" s="48"/>
    </row>
    <row r="131" spans="1:15" ht="16.2" thickBot="1">
      <c r="A131" s="45"/>
      <c r="B131" s="75" t="s">
        <v>96</v>
      </c>
      <c r="C131" s="75"/>
      <c r="D131" s="75"/>
      <c r="E131" s="75"/>
      <c r="F131" s="75"/>
      <c r="G131" s="75"/>
      <c r="H131" s="74"/>
      <c r="I131" s="79">
        <v>-1284</v>
      </c>
      <c r="J131" s="45"/>
    </row>
    <row r="132" spans="1:15" ht="15.6">
      <c r="A132" s="45"/>
      <c r="B132" s="76" t="s">
        <v>94</v>
      </c>
      <c r="C132" s="76"/>
      <c r="D132" s="76"/>
      <c r="E132" s="77"/>
      <c r="F132" s="77"/>
      <c r="G132" s="77"/>
      <c r="H132" s="77"/>
      <c r="I132" s="74"/>
      <c r="J132" s="45"/>
    </row>
    <row r="133" spans="1:15" ht="16.2" thickBot="1">
      <c r="A133" s="45"/>
      <c r="B133" s="76"/>
      <c r="C133" s="76"/>
      <c r="D133" s="76"/>
      <c r="E133" s="77"/>
      <c r="F133" s="77"/>
      <c r="G133" s="77"/>
      <c r="H133" s="77"/>
      <c r="I133" s="74"/>
      <c r="J133" s="45"/>
    </row>
    <row r="134" spans="1:15" ht="16.2" thickBot="1">
      <c r="A134" s="45"/>
      <c r="B134" s="75" t="s">
        <v>97</v>
      </c>
      <c r="C134" s="75"/>
      <c r="D134" s="75"/>
      <c r="E134" s="75"/>
      <c r="F134" s="75"/>
      <c r="G134" s="75"/>
      <c r="H134" s="74"/>
      <c r="I134" s="66">
        <v>926723.72908394516</v>
      </c>
      <c r="J134" s="45"/>
      <c r="K134" s="260">
        <f>I134/J97</f>
        <v>1.1489154360220279</v>
      </c>
      <c r="L134" s="20" t="s">
        <v>418</v>
      </c>
      <c r="M134" s="20"/>
      <c r="N134" s="20"/>
      <c r="O134" s="20"/>
    </row>
    <row r="135" spans="1:15" ht="20.399999999999999">
      <c r="A135" s="45"/>
      <c r="B135" s="488" t="s">
        <v>98</v>
      </c>
      <c r="C135" s="489"/>
      <c r="D135" s="489"/>
      <c r="E135" s="489"/>
      <c r="F135" s="489"/>
      <c r="G135" s="489"/>
      <c r="H135" s="489"/>
      <c r="I135" s="67" t="s">
        <v>369</v>
      </c>
      <c r="J135" s="45"/>
    </row>
    <row r="136" spans="1:15" ht="15.6">
      <c r="A136" s="45"/>
      <c r="B136" s="76"/>
      <c r="C136" s="75"/>
      <c r="D136" s="75"/>
      <c r="E136" s="75"/>
      <c r="F136" s="75"/>
      <c r="G136" s="75"/>
      <c r="H136" s="74"/>
      <c r="I136" s="82"/>
      <c r="J136" s="45"/>
    </row>
    <row r="137" spans="1:15" ht="15.6">
      <c r="A137" s="45"/>
      <c r="B137" s="76"/>
      <c r="C137" s="76"/>
      <c r="D137" s="76"/>
      <c r="E137" s="77"/>
      <c r="F137" s="77"/>
      <c r="G137" s="77"/>
      <c r="H137" s="77"/>
      <c r="I137" s="74"/>
      <c r="J137" s="45"/>
    </row>
    <row r="138" spans="1:15" ht="15.6">
      <c r="A138" s="45"/>
      <c r="B138" s="75" t="s">
        <v>99</v>
      </c>
      <c r="C138" s="76"/>
      <c r="D138" s="76"/>
      <c r="E138" s="77"/>
      <c r="F138" s="77"/>
      <c r="G138" s="77"/>
      <c r="H138" s="77"/>
      <c r="I138" s="74"/>
      <c r="J138" s="45"/>
    </row>
    <row r="139" spans="1:15" ht="16.2" thickBot="1">
      <c r="A139" s="45"/>
      <c r="B139" s="76"/>
      <c r="C139" s="76"/>
      <c r="D139" s="76"/>
      <c r="E139" s="83"/>
      <c r="F139" s="83" t="s">
        <v>100</v>
      </c>
      <c r="G139" s="83" t="s">
        <v>101</v>
      </c>
      <c r="H139" s="83" t="s">
        <v>102</v>
      </c>
      <c r="I139" s="83" t="s">
        <v>103</v>
      </c>
      <c r="J139" s="45"/>
    </row>
    <row r="140" spans="1:15" ht="16.2" thickBot="1">
      <c r="A140" s="45"/>
      <c r="B140" s="76"/>
      <c r="C140" s="76"/>
      <c r="D140" s="76"/>
      <c r="E140" s="83" t="s">
        <v>104</v>
      </c>
      <c r="F140" s="84">
        <v>0</v>
      </c>
      <c r="G140" s="84">
        <v>0</v>
      </c>
      <c r="H140" s="84">
        <v>-1284</v>
      </c>
      <c r="I140" s="84">
        <v>-6420</v>
      </c>
      <c r="J140" s="45"/>
    </row>
    <row r="141" spans="1:15" ht="16.2" thickBot="1">
      <c r="A141" s="45"/>
      <c r="B141" s="76"/>
      <c r="C141" s="76"/>
      <c r="D141" s="76"/>
      <c r="E141" s="83" t="s">
        <v>105</v>
      </c>
      <c r="F141" s="84">
        <v>0</v>
      </c>
      <c r="G141" s="84">
        <v>0</v>
      </c>
      <c r="H141" s="84">
        <v>0</v>
      </c>
      <c r="I141" s="85">
        <v>0</v>
      </c>
      <c r="J141" s="45"/>
    </row>
    <row r="142" spans="1:15" ht="18" thickBot="1">
      <c r="A142" s="45"/>
      <c r="B142" s="86"/>
      <c r="C142" s="86"/>
      <c r="D142" s="86"/>
      <c r="E142" s="86"/>
      <c r="F142" s="86"/>
      <c r="G142" s="86"/>
      <c r="H142" s="87"/>
      <c r="I142" s="87"/>
      <c r="J142" s="48"/>
    </row>
    <row r="143" spans="1:15" ht="18.600000000000001" thickTop="1" thickBot="1">
      <c r="A143" s="45"/>
      <c r="B143" s="56"/>
      <c r="C143" s="56"/>
      <c r="D143" s="56"/>
      <c r="E143" s="56"/>
      <c r="F143" s="56"/>
      <c r="G143" s="56"/>
      <c r="H143" s="45"/>
      <c r="I143" s="45"/>
      <c r="J143" s="48"/>
    </row>
    <row r="144" spans="1:15" ht="18" thickTop="1">
      <c r="A144" s="45"/>
      <c r="B144" s="88"/>
      <c r="C144" s="88"/>
      <c r="D144" s="88"/>
      <c r="E144" s="88"/>
      <c r="F144" s="88"/>
      <c r="G144" s="88"/>
      <c r="H144" s="58"/>
      <c r="I144" s="58"/>
      <c r="J144" s="48"/>
    </row>
    <row r="145" spans="1:10" ht="17.399999999999999">
      <c r="A145" s="45"/>
      <c r="B145" s="59" t="s">
        <v>106</v>
      </c>
      <c r="C145" s="89"/>
      <c r="D145" s="89"/>
      <c r="E145" s="89"/>
      <c r="F145" s="89"/>
      <c r="G145" s="89"/>
      <c r="H145" s="89"/>
      <c r="I145" s="90"/>
      <c r="J145" s="48"/>
    </row>
    <row r="146" spans="1:10" ht="17.399999999999999">
      <c r="A146" s="45"/>
      <c r="B146" s="91"/>
      <c r="C146" s="91"/>
      <c r="D146" s="91"/>
      <c r="E146" s="91"/>
      <c r="F146" s="91"/>
      <c r="G146" s="91"/>
      <c r="H146" s="91"/>
      <c r="I146" s="91"/>
      <c r="J146" s="48"/>
    </row>
    <row r="147" spans="1:10" ht="17.399999999999999">
      <c r="A147" s="45"/>
      <c r="B147" s="91" t="s">
        <v>370</v>
      </c>
      <c r="C147" s="91"/>
      <c r="D147" s="91"/>
      <c r="E147" s="91"/>
      <c r="F147" s="91"/>
      <c r="G147" s="91"/>
      <c r="H147" s="91"/>
      <c r="I147" s="91"/>
      <c r="J147" s="48"/>
    </row>
    <row r="148" spans="1:10" ht="17.399999999999999">
      <c r="A148" s="45"/>
      <c r="B148" s="91"/>
      <c r="C148" s="91"/>
      <c r="D148" s="91"/>
      <c r="E148" s="91"/>
      <c r="F148" s="91"/>
      <c r="G148" s="91"/>
      <c r="H148" s="91"/>
      <c r="I148" s="91"/>
      <c r="J148" s="48"/>
    </row>
    <row r="149" spans="1:10" ht="17.399999999999999">
      <c r="A149" s="45"/>
      <c r="B149" s="91"/>
      <c r="C149" s="91"/>
      <c r="D149" s="91"/>
      <c r="E149" s="91"/>
      <c r="F149" s="91"/>
      <c r="G149" s="91"/>
      <c r="H149" s="91"/>
      <c r="I149" s="91"/>
      <c r="J149" s="48"/>
    </row>
    <row r="150" spans="1:10" ht="17.399999999999999">
      <c r="A150" s="45"/>
      <c r="B150" s="91"/>
      <c r="C150" s="91"/>
      <c r="D150" s="91"/>
      <c r="E150" s="91"/>
      <c r="F150" s="91"/>
      <c r="G150" s="91"/>
      <c r="H150" s="91"/>
      <c r="I150" s="91"/>
      <c r="J150" s="48"/>
    </row>
    <row r="151" spans="1:10" ht="17.399999999999999">
      <c r="A151" s="45"/>
      <c r="B151" s="91"/>
      <c r="C151" s="91"/>
      <c r="D151" s="91"/>
      <c r="E151" s="91"/>
      <c r="F151" s="91"/>
      <c r="G151" s="91"/>
      <c r="H151" s="91"/>
      <c r="I151" s="91"/>
      <c r="J151" s="48"/>
    </row>
    <row r="152" spans="1:10" ht="17.399999999999999">
      <c r="A152" s="45"/>
      <c r="B152" s="91"/>
      <c r="C152" s="91"/>
      <c r="D152" s="91"/>
      <c r="E152" s="91"/>
      <c r="F152" s="91"/>
      <c r="G152" s="91"/>
      <c r="H152" s="91"/>
      <c r="I152" s="91"/>
      <c r="J152" s="48"/>
    </row>
    <row r="153" spans="1:10" ht="18" thickBot="1">
      <c r="A153" s="45"/>
      <c r="B153" s="69"/>
      <c r="C153" s="69"/>
      <c r="D153" s="69"/>
      <c r="E153" s="69"/>
      <c r="F153" s="69"/>
      <c r="G153" s="69"/>
      <c r="H153" s="69"/>
      <c r="I153" s="69"/>
      <c r="J153" s="48"/>
    </row>
    <row r="154" spans="1:10" ht="18.600000000000001" thickTop="1" thickBot="1">
      <c r="A154" s="45"/>
      <c r="B154" s="45"/>
      <c r="C154" s="45"/>
      <c r="D154" s="45"/>
      <c r="E154" s="45"/>
      <c r="F154" s="45"/>
      <c r="G154" s="45"/>
      <c r="H154" s="45"/>
      <c r="I154" s="45"/>
      <c r="J154" s="48"/>
    </row>
    <row r="155" spans="1:10" ht="18" thickTop="1">
      <c r="A155" s="45"/>
      <c r="B155" s="58"/>
      <c r="C155" s="58"/>
      <c r="D155" s="58"/>
      <c r="E155" s="58"/>
      <c r="F155" s="58"/>
      <c r="G155" s="58"/>
      <c r="H155" s="58"/>
      <c r="I155" s="58"/>
      <c r="J155" s="48"/>
    </row>
    <row r="156" spans="1:10" ht="17.399999999999999">
      <c r="A156" s="45"/>
      <c r="B156" s="59" t="s">
        <v>107</v>
      </c>
      <c r="C156" s="91"/>
      <c r="D156" s="91"/>
      <c r="E156" s="91"/>
      <c r="F156" s="91"/>
      <c r="G156" s="91"/>
      <c r="H156" s="91"/>
      <c r="I156" s="91"/>
      <c r="J156" s="48"/>
    </row>
    <row r="157" spans="1:10" ht="18" thickBot="1">
      <c r="A157" s="45"/>
      <c r="B157" s="59"/>
      <c r="C157" s="91"/>
      <c r="D157" s="91"/>
      <c r="E157" s="91"/>
      <c r="F157" s="91"/>
      <c r="G157" s="91"/>
      <c r="H157" s="91"/>
      <c r="I157" s="91"/>
      <c r="J157" s="48"/>
    </row>
    <row r="158" spans="1:10" ht="18" thickBot="1">
      <c r="A158" s="45"/>
      <c r="B158" s="64" t="s">
        <v>108</v>
      </c>
      <c r="C158" s="64"/>
      <c r="D158" s="64"/>
      <c r="E158" s="64"/>
      <c r="F158" s="92"/>
      <c r="G158" s="91"/>
      <c r="H158" s="74"/>
      <c r="I158" s="93">
        <v>0</v>
      </c>
      <c r="J158" s="48"/>
    </row>
    <row r="159" spans="1:10" ht="18" thickBot="1">
      <c r="A159" s="45"/>
      <c r="B159" s="91"/>
      <c r="C159" s="91"/>
      <c r="D159" s="91"/>
      <c r="E159" s="91"/>
      <c r="F159" s="91"/>
      <c r="G159" s="91"/>
      <c r="H159" s="74"/>
      <c r="I159" s="94"/>
      <c r="J159" s="48"/>
    </row>
    <row r="160" spans="1:10" ht="18" thickBot="1">
      <c r="A160" s="45"/>
      <c r="B160" s="64" t="s">
        <v>109</v>
      </c>
      <c r="C160" s="64"/>
      <c r="D160" s="64"/>
      <c r="E160" s="64"/>
      <c r="F160" s="92"/>
      <c r="G160" s="91"/>
      <c r="H160" s="74"/>
      <c r="I160" s="93">
        <v>0</v>
      </c>
      <c r="J160" s="48"/>
    </row>
    <row r="161" spans="1:10" ht="18" thickBot="1">
      <c r="A161" s="45"/>
      <c r="B161" s="69"/>
      <c r="C161" s="69"/>
      <c r="D161" s="69"/>
      <c r="E161" s="69"/>
      <c r="F161" s="69"/>
      <c r="G161" s="69"/>
      <c r="H161" s="69"/>
      <c r="I161" s="69"/>
      <c r="J161" s="48"/>
    </row>
    <row r="162" spans="1:10" ht="18.600000000000001" thickTop="1" thickBot="1">
      <c r="A162" s="45"/>
      <c r="B162" s="45"/>
      <c r="C162" s="45"/>
      <c r="D162" s="45"/>
      <c r="E162" s="45"/>
      <c r="F162" s="45"/>
      <c r="G162" s="45"/>
      <c r="H162" s="45"/>
      <c r="I162" s="45"/>
      <c r="J162" s="48"/>
    </row>
    <row r="163" spans="1:10" ht="18" thickTop="1">
      <c r="A163" s="45"/>
      <c r="B163" s="58"/>
      <c r="C163" s="58"/>
      <c r="D163" s="58"/>
      <c r="E163" s="58"/>
      <c r="F163" s="58"/>
      <c r="G163" s="58"/>
      <c r="H163" s="58"/>
      <c r="I163" s="58"/>
      <c r="J163" s="48"/>
    </row>
    <row r="164" spans="1:10" ht="17.399999999999999">
      <c r="A164" s="45"/>
      <c r="B164" s="59" t="s">
        <v>110</v>
      </c>
      <c r="C164" s="91"/>
      <c r="D164" s="91"/>
      <c r="E164" s="91"/>
      <c r="F164" s="91"/>
      <c r="G164" s="91"/>
      <c r="H164" s="91"/>
      <c r="I164" s="91"/>
      <c r="J164" s="48"/>
    </row>
    <row r="165" spans="1:10" ht="17.399999999999999">
      <c r="A165" s="45"/>
      <c r="B165" s="91"/>
      <c r="C165" s="91"/>
      <c r="D165" s="91"/>
      <c r="E165" s="91"/>
      <c r="F165" s="91"/>
      <c r="G165" s="91"/>
      <c r="H165" s="91"/>
      <c r="I165" s="91"/>
      <c r="J165" s="48"/>
    </row>
    <row r="166" spans="1:10" ht="17.399999999999999">
      <c r="A166" s="45"/>
      <c r="B166" s="91"/>
      <c r="C166" s="91"/>
      <c r="D166" s="91"/>
      <c r="E166" s="91"/>
      <c r="F166" s="91"/>
      <c r="G166" s="91"/>
      <c r="H166" s="91"/>
      <c r="I166" s="91"/>
      <c r="J166" s="48"/>
    </row>
    <row r="167" spans="1:10" ht="17.399999999999999">
      <c r="A167" s="45"/>
      <c r="B167" s="91"/>
      <c r="C167" s="91"/>
      <c r="D167" s="91"/>
      <c r="E167" s="91"/>
      <c r="F167" s="91"/>
      <c r="G167" s="91"/>
      <c r="H167" s="91"/>
      <c r="I167" s="91"/>
      <c r="J167" s="48"/>
    </row>
    <row r="168" spans="1:10" ht="17.399999999999999">
      <c r="A168" s="45"/>
      <c r="B168" s="91"/>
      <c r="C168" s="91"/>
      <c r="D168" s="91"/>
      <c r="E168" s="91"/>
      <c r="F168" s="91"/>
      <c r="G168" s="91"/>
      <c r="H168" s="91"/>
      <c r="I168" s="91"/>
      <c r="J168" s="48"/>
    </row>
    <row r="169" spans="1:10" ht="17.399999999999999">
      <c r="A169" s="45"/>
      <c r="B169" s="91"/>
      <c r="C169" s="91"/>
      <c r="D169" s="91"/>
      <c r="E169" s="91"/>
      <c r="F169" s="91"/>
      <c r="G169" s="91"/>
      <c r="H169" s="91"/>
      <c r="I169" s="91"/>
      <c r="J169" s="48"/>
    </row>
    <row r="170" spans="1:10" ht="17.399999999999999">
      <c r="A170" s="45"/>
      <c r="B170" s="91"/>
      <c r="C170" s="91"/>
      <c r="D170" s="91"/>
      <c r="E170" s="91"/>
      <c r="F170" s="91"/>
      <c r="G170" s="91"/>
      <c r="H170" s="91"/>
      <c r="I170" s="91"/>
      <c r="J170" s="48"/>
    </row>
    <row r="171" spans="1:10" ht="17.399999999999999">
      <c r="A171" s="45"/>
      <c r="B171" s="91"/>
      <c r="C171" s="91"/>
      <c r="D171" s="91"/>
      <c r="E171" s="91"/>
      <c r="F171" s="91"/>
      <c r="G171" s="91"/>
      <c r="H171" s="91"/>
      <c r="I171" s="91"/>
      <c r="J171" s="48"/>
    </row>
    <row r="172" spans="1:10" ht="18" thickBot="1">
      <c r="A172" s="45"/>
      <c r="B172" s="69"/>
      <c r="C172" s="69"/>
      <c r="D172" s="69"/>
      <c r="E172" s="69"/>
      <c r="F172" s="69"/>
      <c r="G172" s="69"/>
      <c r="H172" s="69"/>
      <c r="I172" s="69"/>
      <c r="J172" s="48"/>
    </row>
    <row r="173" spans="1:10" ht="18" thickTop="1">
      <c r="A173" s="45"/>
      <c r="B173" s="49"/>
      <c r="C173" s="56"/>
      <c r="D173" s="56"/>
      <c r="E173" s="45"/>
      <c r="F173" s="45"/>
      <c r="G173" s="45"/>
      <c r="H173" s="45"/>
      <c r="I173" s="45"/>
      <c r="J173" s="48"/>
    </row>
  </sheetData>
  <protectedRanges>
    <protectedRange sqref="I119 E112 B145:H153 E114:F114 E108:E110 B165:H172 I126 I131 D106:E106" name="Input data_1"/>
  </protectedRanges>
  <mergeCells count="10">
    <mergeCell ref="B135:H135"/>
    <mergeCell ref="A25:A26"/>
    <mergeCell ref="B25:B26"/>
    <mergeCell ref="E3:F3"/>
    <mergeCell ref="G3:H3"/>
    <mergeCell ref="A4:A5"/>
    <mergeCell ref="B4:B5"/>
    <mergeCell ref="C4:C5"/>
    <mergeCell ref="D4:D5"/>
    <mergeCell ref="C25:C26"/>
  </mergeCells>
  <dataValidations disablePrompts="1" count="1">
    <dataValidation showInputMessage="1" showErrorMessage="1" sqref="E114" xr:uid="{A4D7C066-2D70-4B15-AA5E-6590933DB203}"/>
  </dataValidations>
  <hyperlinks>
    <hyperlink ref="K34" r:id="rId1" xr:uid="{5E790FCD-250E-4109-B788-9CB6D65DCE51}"/>
    <hyperlink ref="N4" r:id="rId2" xr:uid="{9C8B590D-97D8-4281-96A2-398EBB30D8F6}"/>
  </hyperlinks>
  <pageMargins left="0.7" right="0.7" top="0.75" bottom="0.75" header="0.3" footer="0.3"/>
  <pageSetup paperSize="9" orientation="portrait" horizontalDpi="300" verticalDpi="3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88241-09CC-4161-A7AA-24FA6F013A4E}">
  <dimension ref="A1:T29"/>
  <sheetViews>
    <sheetView topLeftCell="A7" workbookViewId="0">
      <selection activeCell="O29" sqref="O29"/>
    </sheetView>
  </sheetViews>
  <sheetFormatPr defaultRowHeight="14.4"/>
  <cols>
    <col min="7" max="7" width="23.33203125" customWidth="1"/>
    <col min="8" max="8" width="11" bestFit="1" customWidth="1"/>
    <col min="13" max="13" width="11.33203125" customWidth="1"/>
    <col min="14" max="14" width="14.6640625" customWidth="1"/>
    <col min="15" max="15" width="14.21875" customWidth="1"/>
    <col min="16" max="16" width="12.33203125" customWidth="1"/>
    <col min="17" max="17" width="9.88671875" customWidth="1"/>
  </cols>
  <sheetData>
    <row r="1" spans="1:20" s="304" customFormat="1">
      <c r="A1" s="303" t="s">
        <v>478</v>
      </c>
    </row>
    <row r="3" spans="1:20">
      <c r="A3" s="311" t="s">
        <v>479</v>
      </c>
      <c r="B3" s="311"/>
      <c r="C3" s="311"/>
      <c r="D3" s="311"/>
      <c r="E3" s="311"/>
      <c r="F3" s="311"/>
      <c r="G3" s="311"/>
      <c r="H3" s="311"/>
      <c r="I3" s="311"/>
      <c r="J3" s="311"/>
      <c r="K3" s="311"/>
      <c r="L3" s="311"/>
      <c r="M3" s="311"/>
      <c r="N3" s="312">
        <v>1400000</v>
      </c>
      <c r="O3" t="s">
        <v>67</v>
      </c>
      <c r="R3" t="s">
        <v>36</v>
      </c>
      <c r="S3" t="s">
        <v>305</v>
      </c>
    </row>
    <row r="4" spans="1:20">
      <c r="A4" s="311" t="s">
        <v>487</v>
      </c>
      <c r="B4" s="311"/>
      <c r="C4" s="311"/>
      <c r="D4" s="311"/>
      <c r="E4" s="311"/>
      <c r="F4" s="311"/>
      <c r="G4" s="311"/>
      <c r="H4" s="311"/>
      <c r="I4" s="314"/>
      <c r="J4" s="311"/>
      <c r="K4" s="311"/>
      <c r="L4" s="311"/>
      <c r="M4" s="311"/>
      <c r="N4" s="312">
        <v>144700000</v>
      </c>
      <c r="O4" t="s">
        <v>480</v>
      </c>
      <c r="R4" t="s">
        <v>36</v>
      </c>
      <c r="S4" t="s">
        <v>483</v>
      </c>
    </row>
    <row r="6" spans="1:20">
      <c r="A6" s="311" t="s">
        <v>481</v>
      </c>
      <c r="B6" s="311"/>
      <c r="C6" s="311"/>
      <c r="D6" s="311"/>
      <c r="E6" s="311"/>
      <c r="F6" s="311"/>
      <c r="G6" s="311"/>
      <c r="H6" s="311"/>
      <c r="I6" s="311"/>
      <c r="J6" s="311"/>
      <c r="K6" s="311"/>
      <c r="L6" s="311"/>
      <c r="M6" s="311"/>
      <c r="N6" s="312">
        <v>12000000</v>
      </c>
      <c r="O6" t="s">
        <v>484</v>
      </c>
      <c r="R6" t="s">
        <v>36</v>
      </c>
      <c r="S6" t="s">
        <v>485</v>
      </c>
    </row>
    <row r="7" spans="1:20">
      <c r="A7" s="311" t="s">
        <v>488</v>
      </c>
      <c r="B7" s="311"/>
      <c r="C7" s="311"/>
      <c r="D7" s="311"/>
      <c r="E7" s="311"/>
      <c r="F7" s="311"/>
      <c r="G7" s="311"/>
      <c r="H7" s="311"/>
      <c r="I7" s="314"/>
      <c r="J7" s="311"/>
      <c r="K7" s="311"/>
      <c r="L7" s="311"/>
      <c r="M7" s="311"/>
      <c r="N7" s="312">
        <v>124800000</v>
      </c>
      <c r="O7" t="s">
        <v>480</v>
      </c>
      <c r="R7" t="s">
        <v>36</v>
      </c>
      <c r="S7" t="s">
        <v>483</v>
      </c>
    </row>
    <row r="8" spans="1:20">
      <c r="A8" s="311" t="s">
        <v>489</v>
      </c>
      <c r="B8" s="311"/>
      <c r="C8" s="311"/>
      <c r="D8" s="311"/>
      <c r="E8" s="311"/>
      <c r="F8" s="311"/>
      <c r="G8" s="311"/>
      <c r="H8" s="311"/>
      <c r="I8" s="314"/>
      <c r="J8" s="311"/>
      <c r="K8" s="311"/>
      <c r="L8" s="311"/>
      <c r="M8" s="311"/>
      <c r="N8" s="312">
        <f>N4-N7</f>
        <v>19900000</v>
      </c>
      <c r="O8" t="s">
        <v>480</v>
      </c>
    </row>
    <row r="9" spans="1:20">
      <c r="A9" s="99"/>
      <c r="B9" s="99"/>
      <c r="C9" s="99"/>
      <c r="D9" s="99"/>
      <c r="E9" s="99"/>
      <c r="F9" s="99"/>
      <c r="G9" s="99"/>
      <c r="H9" s="99"/>
      <c r="I9" s="273"/>
      <c r="J9" s="99"/>
      <c r="K9" s="99"/>
      <c r="L9" s="99"/>
      <c r="M9" s="99"/>
      <c r="N9" s="273"/>
      <c r="O9" s="99"/>
    </row>
    <row r="10" spans="1:20" s="337" customFormat="1">
      <c r="A10" s="337" t="s">
        <v>521</v>
      </c>
      <c r="I10" s="338"/>
      <c r="N10" s="338"/>
    </row>
    <row r="11" spans="1:20">
      <c r="A11" s="311" t="s">
        <v>482</v>
      </c>
      <c r="B11" s="311"/>
      <c r="C11" s="311"/>
      <c r="D11" s="311"/>
      <c r="E11" s="311"/>
      <c r="F11" s="311"/>
      <c r="G11" s="311"/>
      <c r="H11" s="311"/>
      <c r="I11" s="311"/>
      <c r="J11" s="311"/>
      <c r="K11" s="311"/>
      <c r="L11" s="311"/>
      <c r="M11" s="311"/>
      <c r="N11" s="313">
        <v>0.8</v>
      </c>
      <c r="R11" t="s">
        <v>36</v>
      </c>
      <c r="S11" t="s">
        <v>486</v>
      </c>
    </row>
    <row r="12" spans="1:20">
      <c r="A12" s="311" t="s">
        <v>523</v>
      </c>
      <c r="B12" s="311"/>
      <c r="C12" s="311"/>
      <c r="D12" s="311"/>
      <c r="E12" s="311"/>
      <c r="F12" s="311"/>
      <c r="G12" s="311"/>
      <c r="H12" s="311"/>
      <c r="I12" s="311"/>
      <c r="J12" s="311"/>
      <c r="K12" s="311"/>
      <c r="L12" s="311"/>
      <c r="M12" s="311"/>
      <c r="N12" s="312">
        <f>$N$8*N11</f>
        <v>15920000</v>
      </c>
      <c r="O12" t="s">
        <v>480</v>
      </c>
    </row>
    <row r="14" spans="1:20">
      <c r="A14" s="311" t="s">
        <v>492</v>
      </c>
      <c r="B14" s="311"/>
      <c r="C14" s="311"/>
      <c r="D14" s="311"/>
      <c r="E14" s="311"/>
      <c r="F14" s="311"/>
      <c r="G14" s="311"/>
      <c r="H14" s="311"/>
      <c r="I14" s="311"/>
      <c r="J14" s="311"/>
      <c r="K14" s="311"/>
      <c r="L14" s="311"/>
      <c r="M14" s="311"/>
      <c r="N14" s="315">
        <f>N12/'Assumptions + TAG factors'!C95*'Assumptions + TAG factors'!$C$83</f>
        <v>10797514.569925595</v>
      </c>
      <c r="O14" t="s">
        <v>493</v>
      </c>
    </row>
    <row r="15" spans="1:20">
      <c r="A15" s="311" t="s">
        <v>491</v>
      </c>
      <c r="B15" s="311"/>
      <c r="C15" s="311"/>
      <c r="D15" s="311"/>
      <c r="E15" s="311"/>
      <c r="F15" s="311"/>
      <c r="G15" s="311"/>
      <c r="H15" s="311"/>
      <c r="I15" s="311"/>
      <c r="J15" s="311"/>
      <c r="K15" s="311"/>
      <c r="L15" s="311"/>
      <c r="M15" s="311"/>
      <c r="N15" s="268">
        <f>N14*'Assumptions + TAG factors'!C59</f>
        <v>8119743.4113440719</v>
      </c>
      <c r="O15" s="41" t="s">
        <v>587</v>
      </c>
      <c r="R15" s="41" t="s">
        <v>525</v>
      </c>
      <c r="S15" s="41"/>
      <c r="T15" s="41"/>
    </row>
    <row r="17" spans="1:20" s="337" customFormat="1">
      <c r="A17" s="337" t="s">
        <v>522</v>
      </c>
      <c r="I17" s="338"/>
      <c r="N17" s="338"/>
    </row>
    <row r="18" spans="1:20">
      <c r="A18" s="311" t="s">
        <v>482</v>
      </c>
      <c r="B18" s="311"/>
      <c r="C18" s="311"/>
      <c r="D18" s="311"/>
      <c r="E18" s="311"/>
      <c r="F18" s="311"/>
      <c r="G18" s="311"/>
      <c r="H18" s="311"/>
      <c r="I18" s="311"/>
      <c r="J18" s="311"/>
      <c r="K18" s="311"/>
      <c r="L18" s="311"/>
      <c r="M18" s="311"/>
      <c r="N18" s="313">
        <v>0.6</v>
      </c>
      <c r="R18" t="s">
        <v>36</v>
      </c>
      <c r="S18" t="s">
        <v>486</v>
      </c>
    </row>
    <row r="19" spans="1:20">
      <c r="A19" s="311" t="s">
        <v>490</v>
      </c>
      <c r="B19" s="311"/>
      <c r="C19" s="311"/>
      <c r="D19" s="311"/>
      <c r="E19" s="311"/>
      <c r="F19" s="311"/>
      <c r="G19" s="311"/>
      <c r="H19" s="311"/>
      <c r="I19" s="311"/>
      <c r="J19" s="311"/>
      <c r="K19" s="311"/>
      <c r="L19" s="311"/>
      <c r="M19" s="311"/>
      <c r="N19" s="312">
        <f>$N$8*N18</f>
        <v>11940000</v>
      </c>
      <c r="O19" t="s">
        <v>480</v>
      </c>
    </row>
    <row r="21" spans="1:20">
      <c r="A21" s="311" t="s">
        <v>492</v>
      </c>
      <c r="B21" s="311"/>
      <c r="C21" s="311"/>
      <c r="D21" s="311"/>
      <c r="E21" s="311"/>
      <c r="F21" s="311"/>
      <c r="G21" s="311"/>
      <c r="H21" s="311"/>
      <c r="I21" s="311"/>
      <c r="J21" s="311"/>
      <c r="K21" s="311"/>
      <c r="L21" s="311"/>
      <c r="M21" s="311"/>
      <c r="N21" s="315">
        <f>N19/'Assumptions + TAG factors'!C95*'Assumptions + TAG factors'!$C$83</f>
        <v>8098135.9274441972</v>
      </c>
      <c r="O21" t="s">
        <v>493</v>
      </c>
    </row>
    <row r="22" spans="1:20">
      <c r="A22" s="311" t="s">
        <v>491</v>
      </c>
      <c r="B22" s="311"/>
      <c r="C22" s="311"/>
      <c r="D22" s="311"/>
      <c r="E22" s="311"/>
      <c r="F22" s="311"/>
      <c r="G22" s="311"/>
      <c r="H22" s="311"/>
      <c r="I22" s="311"/>
      <c r="J22" s="311"/>
      <c r="K22" s="311"/>
      <c r="L22" s="311"/>
      <c r="M22" s="311"/>
      <c r="N22" s="268">
        <f>N21*'Assumptions + TAG factors'!C59</f>
        <v>6089807.5585080544</v>
      </c>
      <c r="O22" s="41" t="s">
        <v>587</v>
      </c>
      <c r="R22" s="41" t="s">
        <v>501</v>
      </c>
      <c r="S22" s="41"/>
      <c r="T22" s="41"/>
    </row>
    <row r="24" spans="1:20" s="337" customFormat="1">
      <c r="A24" s="337" t="s">
        <v>524</v>
      </c>
      <c r="I24" s="338"/>
      <c r="N24" s="338"/>
    </row>
    <row r="25" spans="1:20">
      <c r="A25" s="311" t="s">
        <v>482</v>
      </c>
      <c r="B25" s="311"/>
      <c r="C25" s="311"/>
      <c r="D25" s="311"/>
      <c r="E25" s="311"/>
      <c r="F25" s="311"/>
      <c r="G25" s="311"/>
      <c r="H25" s="311"/>
      <c r="I25" s="311"/>
      <c r="J25" s="311"/>
      <c r="K25" s="311"/>
      <c r="L25" s="311"/>
      <c r="M25" s="311"/>
      <c r="N25" s="313">
        <v>0.4</v>
      </c>
      <c r="R25" t="s">
        <v>36</v>
      </c>
      <c r="S25" t="s">
        <v>486</v>
      </c>
    </row>
    <row r="26" spans="1:20">
      <c r="A26" s="311" t="s">
        <v>490</v>
      </c>
      <c r="B26" s="311"/>
      <c r="C26" s="311"/>
      <c r="D26" s="311"/>
      <c r="E26" s="311"/>
      <c r="F26" s="311"/>
      <c r="G26" s="311"/>
      <c r="H26" s="311"/>
      <c r="I26" s="311"/>
      <c r="J26" s="311"/>
      <c r="K26" s="311"/>
      <c r="L26" s="311"/>
      <c r="M26" s="311"/>
      <c r="N26" s="312">
        <f>$N$8*N25</f>
        <v>7960000</v>
      </c>
      <c r="O26" t="s">
        <v>480</v>
      </c>
    </row>
    <row r="28" spans="1:20">
      <c r="A28" s="311" t="s">
        <v>492</v>
      </c>
      <c r="B28" s="311"/>
      <c r="C28" s="311"/>
      <c r="D28" s="311"/>
      <c r="E28" s="311"/>
      <c r="F28" s="311"/>
      <c r="G28" s="311"/>
      <c r="H28" s="311"/>
      <c r="I28" s="311"/>
      <c r="J28" s="311"/>
      <c r="K28" s="311"/>
      <c r="L28" s="311"/>
      <c r="M28" s="311"/>
      <c r="N28" s="315">
        <f>N26/'Assumptions + TAG factors'!C95*'Assumptions + TAG factors'!$C$83</f>
        <v>5398757.2849627975</v>
      </c>
      <c r="O28" t="s">
        <v>493</v>
      </c>
    </row>
    <row r="29" spans="1:20">
      <c r="A29" s="311" t="s">
        <v>491</v>
      </c>
      <c r="B29" s="311"/>
      <c r="C29" s="311"/>
      <c r="D29" s="311"/>
      <c r="E29" s="311"/>
      <c r="F29" s="311"/>
      <c r="G29" s="311"/>
      <c r="H29" s="311"/>
      <c r="I29" s="311"/>
      <c r="J29" s="311"/>
      <c r="K29" s="311"/>
      <c r="L29" s="311"/>
      <c r="M29" s="311"/>
      <c r="N29" s="268">
        <f>N28*'Assumptions + TAG factors'!C59</f>
        <v>4059871.7056720359</v>
      </c>
      <c r="O29" s="41" t="s">
        <v>587</v>
      </c>
      <c r="R29" s="41" t="s">
        <v>498</v>
      </c>
      <c r="S29" s="41"/>
      <c r="T29" s="4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305F6-2D1F-4A84-8AAF-101DBC31BE23}">
  <dimension ref="A3:R214"/>
  <sheetViews>
    <sheetView topLeftCell="A79" workbookViewId="0"/>
  </sheetViews>
  <sheetFormatPr defaultRowHeight="14.4"/>
  <cols>
    <col min="1" max="1" width="26.88671875" customWidth="1"/>
  </cols>
  <sheetData>
    <row r="3" spans="1:18" s="15" customFormat="1">
      <c r="A3" s="24" t="s">
        <v>71</v>
      </c>
    </row>
    <row r="5" spans="1:18">
      <c r="A5" s="1" t="s">
        <v>55</v>
      </c>
    </row>
    <row r="6" spans="1:18">
      <c r="A6" t="s">
        <v>56</v>
      </c>
      <c r="B6">
        <v>2020</v>
      </c>
      <c r="C6">
        <v>2025</v>
      </c>
      <c r="D6">
        <v>2030</v>
      </c>
      <c r="E6">
        <v>2035</v>
      </c>
      <c r="F6">
        <v>2040</v>
      </c>
      <c r="G6">
        <v>2045</v>
      </c>
      <c r="H6">
        <v>2050</v>
      </c>
      <c r="J6" t="s">
        <v>56</v>
      </c>
      <c r="K6" t="s">
        <v>57</v>
      </c>
      <c r="L6" t="s">
        <v>58</v>
      </c>
      <c r="M6" t="s">
        <v>59</v>
      </c>
      <c r="N6" t="s">
        <v>60</v>
      </c>
      <c r="O6" t="s">
        <v>61</v>
      </c>
      <c r="P6" t="s">
        <v>62</v>
      </c>
      <c r="Q6" t="s">
        <v>63</v>
      </c>
      <c r="R6" t="s">
        <v>26</v>
      </c>
    </row>
    <row r="7" spans="1:18" ht="28.8">
      <c r="A7" s="29" t="s">
        <v>57</v>
      </c>
      <c r="B7" s="4">
        <v>34.905421931016598</v>
      </c>
      <c r="C7" s="4">
        <v>39.776306354085243</v>
      </c>
      <c r="D7" s="4">
        <v>45.818443813030356</v>
      </c>
      <c r="E7" s="4">
        <v>53.596368859446137</v>
      </c>
      <c r="F7" s="4">
        <v>62.880786549023739</v>
      </c>
      <c r="G7" s="4">
        <v>71.965084785746981</v>
      </c>
      <c r="H7" s="4">
        <v>78.860531236954202</v>
      </c>
      <c r="J7">
        <v>2020</v>
      </c>
      <c r="K7" s="27">
        <v>34.905421931016598</v>
      </c>
      <c r="L7" s="27">
        <v>9.6480376168799273E-2</v>
      </c>
      <c r="M7" s="27">
        <v>2.8624040749960384</v>
      </c>
      <c r="N7" s="27">
        <v>0.73894501683871039</v>
      </c>
      <c r="O7" s="27">
        <v>0.19082693833306927</v>
      </c>
      <c r="P7" s="27">
        <v>0.87803924831035274</v>
      </c>
      <c r="Q7" s="27">
        <v>-3.987141028259598</v>
      </c>
      <c r="R7" s="27">
        <v>35.684976557403964</v>
      </c>
    </row>
    <row r="8" spans="1:18">
      <c r="A8" t="s">
        <v>58</v>
      </c>
      <c r="B8" s="4">
        <v>9.6480376168799273E-2</v>
      </c>
      <c r="C8" s="4">
        <v>0.11406546530082511</v>
      </c>
      <c r="D8" s="4">
        <v>0.12269487363454022</v>
      </c>
      <c r="E8" s="4">
        <v>0.13140612425033818</v>
      </c>
      <c r="F8" s="4">
        <v>0.1412521185913658</v>
      </c>
      <c r="G8" s="4">
        <v>0.15108474967475979</v>
      </c>
      <c r="H8" s="4">
        <v>0.16109337675477978</v>
      </c>
      <c r="J8">
        <v>2025</v>
      </c>
      <c r="K8" s="27">
        <v>39.776306354085243</v>
      </c>
      <c r="L8" s="27">
        <v>0.11406546530082511</v>
      </c>
      <c r="M8" s="27">
        <v>3.4460644885243035</v>
      </c>
      <c r="N8" s="27">
        <v>0.68404890029784648</v>
      </c>
      <c r="O8" s="27">
        <v>0.22973763256828694</v>
      </c>
      <c r="P8" s="27">
        <v>0.82972978167558908</v>
      </c>
      <c r="Q8" s="27">
        <v>-3.4088529419343625</v>
      </c>
      <c r="R8" s="27">
        <v>41.671099680517734</v>
      </c>
    </row>
    <row r="9" spans="1:18">
      <c r="A9" t="s">
        <v>59</v>
      </c>
      <c r="B9" s="4">
        <v>2.8624040749960384</v>
      </c>
      <c r="C9" s="4">
        <v>3.4460644885243035</v>
      </c>
      <c r="D9" s="4">
        <v>3.7557463375256215</v>
      </c>
      <c r="E9" s="4">
        <v>4.0446267691569444</v>
      </c>
      <c r="F9" s="4">
        <v>4.3539332577524723</v>
      </c>
      <c r="G9" s="4">
        <v>4.6723892010179489</v>
      </c>
      <c r="H9" s="4">
        <v>5.0103960148374851</v>
      </c>
      <c r="J9">
        <v>2030</v>
      </c>
      <c r="K9" s="27">
        <v>45.818443813030356</v>
      </c>
      <c r="L9" s="27">
        <v>0.12269487363454022</v>
      </c>
      <c r="M9" s="27">
        <v>3.7557463375256215</v>
      </c>
      <c r="N9" s="27">
        <v>0.60872752892597237</v>
      </c>
      <c r="O9" s="27">
        <v>0.25038308916837476</v>
      </c>
      <c r="P9" s="27">
        <v>0.76824040374130331</v>
      </c>
      <c r="Q9" s="27">
        <v>-2.5279339439529172</v>
      </c>
      <c r="R9" s="27">
        <v>48.796302102073248</v>
      </c>
    </row>
    <row r="10" spans="1:18">
      <c r="A10" t="s">
        <v>60</v>
      </c>
      <c r="B10" s="4">
        <v>0.73894501683871039</v>
      </c>
      <c r="C10" s="4">
        <v>0.68404890029784648</v>
      </c>
      <c r="D10" s="4">
        <v>0.60872752892597237</v>
      </c>
      <c r="E10" s="4">
        <v>0.55297930507168314</v>
      </c>
      <c r="F10" s="4">
        <v>0.61563722888905714</v>
      </c>
      <c r="G10" s="4">
        <v>0.64385058958117158</v>
      </c>
      <c r="H10" s="4">
        <v>0.67619017918090973</v>
      </c>
      <c r="J10">
        <v>2035</v>
      </c>
      <c r="K10" s="27">
        <v>53.596368859446137</v>
      </c>
      <c r="L10" s="27">
        <v>0.13140612425033818</v>
      </c>
      <c r="M10" s="27">
        <v>4.0446267691569444</v>
      </c>
      <c r="N10" s="27">
        <v>0.55297930507168314</v>
      </c>
      <c r="O10" s="27">
        <v>0.26964178461046306</v>
      </c>
      <c r="P10" s="27">
        <v>0.97168802211206118</v>
      </c>
      <c r="Q10" s="27">
        <v>-1.7920117325185032</v>
      </c>
      <c r="R10" s="27">
        <v>57.774699132129129</v>
      </c>
    </row>
    <row r="11" spans="1:18">
      <c r="A11" t="s">
        <v>61</v>
      </c>
      <c r="B11" s="4">
        <v>0.19082693833306927</v>
      </c>
      <c r="C11" s="4">
        <v>0.22973763256828694</v>
      </c>
      <c r="D11" s="4">
        <v>0.25038308916837476</v>
      </c>
      <c r="E11" s="4">
        <v>0.26964178461046306</v>
      </c>
      <c r="F11" s="4">
        <v>0.29026221718349815</v>
      </c>
      <c r="G11" s="4">
        <v>0.31149261340119666</v>
      </c>
      <c r="H11" s="4">
        <v>0.33402640098916581</v>
      </c>
      <c r="J11">
        <v>2040</v>
      </c>
      <c r="K11" s="27">
        <v>62.880786549023739</v>
      </c>
      <c r="L11" s="27">
        <v>0.1412521185913658</v>
      </c>
      <c r="M11" s="27">
        <v>4.3539332577524723</v>
      </c>
      <c r="N11" s="27">
        <v>0.61563722888905714</v>
      </c>
      <c r="O11" s="27">
        <v>0.29026221718349815</v>
      </c>
      <c r="P11" s="27">
        <v>1.1430192656711016</v>
      </c>
      <c r="Q11" s="27">
        <v>-1.5438431658098191</v>
      </c>
      <c r="R11" s="27">
        <v>67.881047471301414</v>
      </c>
    </row>
    <row r="12" spans="1:18">
      <c r="A12" t="s">
        <v>62</v>
      </c>
      <c r="B12" s="4">
        <v>0.87803924831035274</v>
      </c>
      <c r="C12" s="4">
        <v>0.82972978167558908</v>
      </c>
      <c r="D12" s="4">
        <v>0.76824040374130331</v>
      </c>
      <c r="E12" s="4">
        <v>0.97168802211206118</v>
      </c>
      <c r="F12" s="4">
        <v>1.1430192656711016</v>
      </c>
      <c r="G12" s="4">
        <v>1.273608467467745</v>
      </c>
      <c r="H12" s="4">
        <v>1.3799915325743779</v>
      </c>
      <c r="J12">
        <v>2045</v>
      </c>
      <c r="K12" s="27">
        <v>71.965084785746981</v>
      </c>
      <c r="L12" s="27">
        <v>0.15108474967475979</v>
      </c>
      <c r="M12" s="27">
        <v>4.6723892010179489</v>
      </c>
      <c r="N12" s="27">
        <v>0.64385058958117158</v>
      </c>
      <c r="O12" s="27">
        <v>0.31149261340119666</v>
      </c>
      <c r="P12" s="27">
        <v>1.273608467467745</v>
      </c>
      <c r="Q12" s="27">
        <v>-1.3434217459927593</v>
      </c>
      <c r="R12" s="27">
        <v>77.674088660897056</v>
      </c>
    </row>
    <row r="13" spans="1:18">
      <c r="A13" t="s">
        <v>63</v>
      </c>
      <c r="B13" s="4">
        <v>-3.987141028259598</v>
      </c>
      <c r="C13" s="4">
        <v>-3.4088529419343625</v>
      </c>
      <c r="D13" s="4">
        <v>-2.5279339439529172</v>
      </c>
      <c r="E13" s="4">
        <v>-1.7920117325185032</v>
      </c>
      <c r="F13" s="4">
        <v>-1.5438431658098191</v>
      </c>
      <c r="G13" s="4">
        <v>-1.3434217459927593</v>
      </c>
      <c r="H13" s="4">
        <v>-1.1710919251851959</v>
      </c>
      <c r="J13" s="10">
        <v>2050</v>
      </c>
      <c r="K13" s="27">
        <v>78.860531236954202</v>
      </c>
      <c r="L13" s="27">
        <v>0.16109337675477978</v>
      </c>
      <c r="M13" s="27">
        <v>5.0103960148374851</v>
      </c>
      <c r="N13" s="27">
        <v>0.67619017918090973</v>
      </c>
      <c r="O13" s="27">
        <v>0.33402640098916581</v>
      </c>
      <c r="P13" s="27">
        <v>1.3799915325743779</v>
      </c>
      <c r="Q13" s="27">
        <v>-1.1710919251851959</v>
      </c>
      <c r="R13" s="27">
        <v>85.251136816105713</v>
      </c>
    </row>
    <row r="14" spans="1:18">
      <c r="A14" t="s">
        <v>26</v>
      </c>
      <c r="B14" s="4">
        <v>35.684976557403964</v>
      </c>
      <c r="C14" s="4">
        <v>41.671099680517734</v>
      </c>
      <c r="D14" s="4">
        <v>48.796302102073248</v>
      </c>
      <c r="E14" s="4">
        <v>57.774699132129129</v>
      </c>
      <c r="F14" s="4">
        <v>67.881047471301414</v>
      </c>
      <c r="G14" s="4">
        <v>77.674088660897056</v>
      </c>
      <c r="H14" s="4">
        <v>85.251136816105713</v>
      </c>
    </row>
    <row r="16" spans="1:18" ht="28.8">
      <c r="A16" s="29" t="s">
        <v>64</v>
      </c>
      <c r="B16" t="s">
        <v>65</v>
      </c>
      <c r="C16" t="s">
        <v>58</v>
      </c>
      <c r="D16" t="s">
        <v>59</v>
      </c>
      <c r="E16" t="s">
        <v>60</v>
      </c>
      <c r="F16" t="s">
        <v>61</v>
      </c>
      <c r="G16" t="s">
        <v>62</v>
      </c>
      <c r="H16" t="s">
        <v>63</v>
      </c>
      <c r="I16" t="s">
        <v>26</v>
      </c>
    </row>
    <row r="17" spans="1:9">
      <c r="A17">
        <v>2022</v>
      </c>
      <c r="B17" s="27">
        <f t="shared" ref="B17:I17" si="0">K$7</f>
        <v>34.905421931016598</v>
      </c>
      <c r="C17" s="27">
        <f t="shared" si="0"/>
        <v>9.6480376168799273E-2</v>
      </c>
      <c r="D17" s="27">
        <f t="shared" si="0"/>
        <v>2.8624040749960384</v>
      </c>
      <c r="E17" s="27">
        <f t="shared" si="0"/>
        <v>0.73894501683871039</v>
      </c>
      <c r="F17" s="27">
        <f t="shared" si="0"/>
        <v>0.19082693833306927</v>
      </c>
      <c r="G17" s="27">
        <f t="shared" si="0"/>
        <v>0.87803924831035274</v>
      </c>
      <c r="H17" s="27">
        <f t="shared" si="0"/>
        <v>-3.987141028259598</v>
      </c>
      <c r="I17" s="27">
        <f t="shared" si="0"/>
        <v>35.684976557403964</v>
      </c>
    </row>
    <row r="18" spans="1:9">
      <c r="A18">
        <v>2023</v>
      </c>
      <c r="B18" s="27">
        <f t="shared" ref="B18:B19" si="1">K$7</f>
        <v>34.905421931016598</v>
      </c>
      <c r="C18" s="27">
        <f t="shared" ref="C18:C19" si="2">L$7</f>
        <v>9.6480376168799273E-2</v>
      </c>
      <c r="D18" s="27">
        <f t="shared" ref="D18:D19" si="3">M$7</f>
        <v>2.8624040749960384</v>
      </c>
      <c r="E18" s="27">
        <f t="shared" ref="E18:E19" si="4">N$7</f>
        <v>0.73894501683871039</v>
      </c>
      <c r="F18" s="27">
        <f t="shared" ref="F18:F19" si="5">O$7</f>
        <v>0.19082693833306927</v>
      </c>
      <c r="G18" s="27">
        <f t="shared" ref="G18:G19" si="6">P$7</f>
        <v>0.87803924831035274</v>
      </c>
      <c r="H18" s="27">
        <f t="shared" ref="H18:H19" si="7">Q$7</f>
        <v>-3.987141028259598</v>
      </c>
      <c r="I18" s="27">
        <f t="shared" ref="I18:I19" si="8">R$7</f>
        <v>35.684976557403964</v>
      </c>
    </row>
    <row r="19" spans="1:9">
      <c r="A19">
        <v>2024</v>
      </c>
      <c r="B19" s="27">
        <f t="shared" si="1"/>
        <v>34.905421931016598</v>
      </c>
      <c r="C19" s="27">
        <f t="shared" si="2"/>
        <v>9.6480376168799273E-2</v>
      </c>
      <c r="D19" s="27">
        <f t="shared" si="3"/>
        <v>2.8624040749960384</v>
      </c>
      <c r="E19" s="27">
        <f t="shared" si="4"/>
        <v>0.73894501683871039</v>
      </c>
      <c r="F19" s="27">
        <f t="shared" si="5"/>
        <v>0.19082693833306927</v>
      </c>
      <c r="G19" s="27">
        <f t="shared" si="6"/>
        <v>0.87803924831035274</v>
      </c>
      <c r="H19" s="27">
        <f t="shared" si="7"/>
        <v>-3.987141028259598</v>
      </c>
      <c r="I19" s="27">
        <f t="shared" si="8"/>
        <v>35.684976557403964</v>
      </c>
    </row>
    <row r="20" spans="1:9">
      <c r="A20">
        <v>2025</v>
      </c>
      <c r="B20" s="27">
        <f>K$8</f>
        <v>39.776306354085243</v>
      </c>
      <c r="C20" s="27">
        <f t="shared" ref="C20:I20" si="9">L$8</f>
        <v>0.11406546530082511</v>
      </c>
      <c r="D20" s="27">
        <f t="shared" si="9"/>
        <v>3.4460644885243035</v>
      </c>
      <c r="E20" s="27">
        <f t="shared" si="9"/>
        <v>0.68404890029784648</v>
      </c>
      <c r="F20" s="27">
        <f t="shared" si="9"/>
        <v>0.22973763256828694</v>
      </c>
      <c r="G20" s="27">
        <f t="shared" si="9"/>
        <v>0.82972978167558908</v>
      </c>
      <c r="H20" s="27">
        <f t="shared" si="9"/>
        <v>-3.4088529419343625</v>
      </c>
      <c r="I20" s="27">
        <f t="shared" si="9"/>
        <v>41.671099680517734</v>
      </c>
    </row>
    <row r="21" spans="1:9">
      <c r="A21">
        <v>2026</v>
      </c>
      <c r="B21" s="27">
        <f t="shared" ref="B21:B24" si="10">K$8</f>
        <v>39.776306354085243</v>
      </c>
      <c r="C21" s="27">
        <f t="shared" ref="C21:C24" si="11">L$8</f>
        <v>0.11406546530082511</v>
      </c>
      <c r="D21" s="27">
        <f t="shared" ref="D21:D24" si="12">M$8</f>
        <v>3.4460644885243035</v>
      </c>
      <c r="E21" s="27">
        <f t="shared" ref="E21:E24" si="13">N$8</f>
        <v>0.68404890029784648</v>
      </c>
      <c r="F21" s="27">
        <f t="shared" ref="F21:F24" si="14">O$8</f>
        <v>0.22973763256828694</v>
      </c>
      <c r="G21" s="27">
        <f t="shared" ref="G21:G24" si="15">P$8</f>
        <v>0.82972978167558908</v>
      </c>
      <c r="H21" s="27">
        <f t="shared" ref="H21:H24" si="16">Q$8</f>
        <v>-3.4088529419343625</v>
      </c>
      <c r="I21" s="27">
        <f t="shared" ref="I21:I24" si="17">R$8</f>
        <v>41.671099680517734</v>
      </c>
    </row>
    <row r="22" spans="1:9">
      <c r="A22">
        <v>2027</v>
      </c>
      <c r="B22" s="27">
        <f t="shared" si="10"/>
        <v>39.776306354085243</v>
      </c>
      <c r="C22" s="27">
        <f t="shared" si="11"/>
        <v>0.11406546530082511</v>
      </c>
      <c r="D22" s="27">
        <f t="shared" si="12"/>
        <v>3.4460644885243035</v>
      </c>
      <c r="E22" s="27">
        <f t="shared" si="13"/>
        <v>0.68404890029784648</v>
      </c>
      <c r="F22" s="27">
        <f t="shared" si="14"/>
        <v>0.22973763256828694</v>
      </c>
      <c r="G22" s="27">
        <f t="shared" si="15"/>
        <v>0.82972978167558908</v>
      </c>
      <c r="H22" s="27">
        <f t="shared" si="16"/>
        <v>-3.4088529419343625</v>
      </c>
      <c r="I22" s="27">
        <f t="shared" si="17"/>
        <v>41.671099680517734</v>
      </c>
    </row>
    <row r="23" spans="1:9">
      <c r="A23">
        <v>2028</v>
      </c>
      <c r="B23" s="27">
        <f t="shared" si="10"/>
        <v>39.776306354085243</v>
      </c>
      <c r="C23" s="27">
        <f t="shared" si="11"/>
        <v>0.11406546530082511</v>
      </c>
      <c r="D23" s="27">
        <f t="shared" si="12"/>
        <v>3.4460644885243035</v>
      </c>
      <c r="E23" s="27">
        <f t="shared" si="13"/>
        <v>0.68404890029784648</v>
      </c>
      <c r="F23" s="27">
        <f t="shared" si="14"/>
        <v>0.22973763256828694</v>
      </c>
      <c r="G23" s="27">
        <f t="shared" si="15"/>
        <v>0.82972978167558908</v>
      </c>
      <c r="H23" s="27">
        <f t="shared" si="16"/>
        <v>-3.4088529419343625</v>
      </c>
      <c r="I23" s="27">
        <f t="shared" si="17"/>
        <v>41.671099680517734</v>
      </c>
    </row>
    <row r="24" spans="1:9">
      <c r="A24">
        <v>2029</v>
      </c>
      <c r="B24" s="27">
        <f t="shared" si="10"/>
        <v>39.776306354085243</v>
      </c>
      <c r="C24" s="27">
        <f t="shared" si="11"/>
        <v>0.11406546530082511</v>
      </c>
      <c r="D24" s="27">
        <f t="shared" si="12"/>
        <v>3.4460644885243035</v>
      </c>
      <c r="E24" s="27">
        <f t="shared" si="13"/>
        <v>0.68404890029784648</v>
      </c>
      <c r="F24" s="27">
        <f t="shared" si="14"/>
        <v>0.22973763256828694</v>
      </c>
      <c r="G24" s="27">
        <f t="shared" si="15"/>
        <v>0.82972978167558908</v>
      </c>
      <c r="H24" s="27">
        <f t="shared" si="16"/>
        <v>-3.4088529419343625</v>
      </c>
      <c r="I24" s="27">
        <f t="shared" si="17"/>
        <v>41.671099680517734</v>
      </c>
    </row>
    <row r="25" spans="1:9">
      <c r="A25">
        <v>2030</v>
      </c>
      <c r="B25" s="27">
        <f>K$9</f>
        <v>45.818443813030356</v>
      </c>
      <c r="C25" s="27">
        <f t="shared" ref="C25:I25" si="18">L$9</f>
        <v>0.12269487363454022</v>
      </c>
      <c r="D25" s="27">
        <f t="shared" si="18"/>
        <v>3.7557463375256215</v>
      </c>
      <c r="E25" s="27">
        <f t="shared" si="18"/>
        <v>0.60872752892597237</v>
      </c>
      <c r="F25" s="27">
        <f t="shared" si="18"/>
        <v>0.25038308916837476</v>
      </c>
      <c r="G25" s="27">
        <f t="shared" si="18"/>
        <v>0.76824040374130331</v>
      </c>
      <c r="H25" s="27">
        <f t="shared" si="18"/>
        <v>-2.5279339439529172</v>
      </c>
      <c r="I25" s="27">
        <f t="shared" si="18"/>
        <v>48.796302102073248</v>
      </c>
    </row>
    <row r="26" spans="1:9">
      <c r="A26">
        <v>2031</v>
      </c>
      <c r="B26" s="27">
        <f t="shared" ref="B26:B29" si="19">K$9</f>
        <v>45.818443813030356</v>
      </c>
      <c r="C26" s="27">
        <f t="shared" ref="C26:C29" si="20">L$9</f>
        <v>0.12269487363454022</v>
      </c>
      <c r="D26" s="27">
        <f t="shared" ref="D26:D29" si="21">M$9</f>
        <v>3.7557463375256215</v>
      </c>
      <c r="E26" s="27">
        <f t="shared" ref="E26:E29" si="22">N$9</f>
        <v>0.60872752892597237</v>
      </c>
      <c r="F26" s="27">
        <f t="shared" ref="F26:F29" si="23">O$9</f>
        <v>0.25038308916837476</v>
      </c>
      <c r="G26" s="27">
        <f t="shared" ref="G26:G29" si="24">P$9</f>
        <v>0.76824040374130331</v>
      </c>
      <c r="H26" s="27">
        <f t="shared" ref="H26:H29" si="25">Q$9</f>
        <v>-2.5279339439529172</v>
      </c>
      <c r="I26" s="27">
        <f t="shared" ref="I26:I29" si="26">R$9</f>
        <v>48.796302102073248</v>
      </c>
    </row>
    <row r="27" spans="1:9">
      <c r="A27">
        <v>2032</v>
      </c>
      <c r="B27" s="27">
        <f t="shared" si="19"/>
        <v>45.818443813030356</v>
      </c>
      <c r="C27" s="27">
        <f t="shared" si="20"/>
        <v>0.12269487363454022</v>
      </c>
      <c r="D27" s="27">
        <f t="shared" si="21"/>
        <v>3.7557463375256215</v>
      </c>
      <c r="E27" s="27">
        <f t="shared" si="22"/>
        <v>0.60872752892597237</v>
      </c>
      <c r="F27" s="27">
        <f t="shared" si="23"/>
        <v>0.25038308916837476</v>
      </c>
      <c r="G27" s="27">
        <f t="shared" si="24"/>
        <v>0.76824040374130331</v>
      </c>
      <c r="H27" s="27">
        <f t="shared" si="25"/>
        <v>-2.5279339439529172</v>
      </c>
      <c r="I27" s="27">
        <f t="shared" si="26"/>
        <v>48.796302102073248</v>
      </c>
    </row>
    <row r="28" spans="1:9">
      <c r="A28">
        <v>2033</v>
      </c>
      <c r="B28" s="27">
        <f t="shared" si="19"/>
        <v>45.818443813030356</v>
      </c>
      <c r="C28" s="27">
        <f t="shared" si="20"/>
        <v>0.12269487363454022</v>
      </c>
      <c r="D28" s="27">
        <f t="shared" si="21"/>
        <v>3.7557463375256215</v>
      </c>
      <c r="E28" s="27">
        <f t="shared" si="22"/>
        <v>0.60872752892597237</v>
      </c>
      <c r="F28" s="27">
        <f t="shared" si="23"/>
        <v>0.25038308916837476</v>
      </c>
      <c r="G28" s="27">
        <f t="shared" si="24"/>
        <v>0.76824040374130331</v>
      </c>
      <c r="H28" s="27">
        <f t="shared" si="25"/>
        <v>-2.5279339439529172</v>
      </c>
      <c r="I28" s="27">
        <f t="shared" si="26"/>
        <v>48.796302102073248</v>
      </c>
    </row>
    <row r="29" spans="1:9">
      <c r="A29">
        <v>2034</v>
      </c>
      <c r="B29" s="27">
        <f t="shared" si="19"/>
        <v>45.818443813030356</v>
      </c>
      <c r="C29" s="27">
        <f t="shared" si="20"/>
        <v>0.12269487363454022</v>
      </c>
      <c r="D29" s="27">
        <f t="shared" si="21"/>
        <v>3.7557463375256215</v>
      </c>
      <c r="E29" s="27">
        <f t="shared" si="22"/>
        <v>0.60872752892597237</v>
      </c>
      <c r="F29" s="27">
        <f t="shared" si="23"/>
        <v>0.25038308916837476</v>
      </c>
      <c r="G29" s="27">
        <f t="shared" si="24"/>
        <v>0.76824040374130331</v>
      </c>
      <c r="H29" s="27">
        <f t="shared" si="25"/>
        <v>-2.5279339439529172</v>
      </c>
      <c r="I29" s="27">
        <f t="shared" si="26"/>
        <v>48.796302102073248</v>
      </c>
    </row>
    <row r="30" spans="1:9">
      <c r="A30">
        <v>2035</v>
      </c>
      <c r="B30" s="27">
        <f>K$10</f>
        <v>53.596368859446137</v>
      </c>
      <c r="C30" s="27">
        <f t="shared" ref="C30:I30" si="27">L$10</f>
        <v>0.13140612425033818</v>
      </c>
      <c r="D30" s="27">
        <f t="shared" si="27"/>
        <v>4.0446267691569444</v>
      </c>
      <c r="E30" s="27">
        <f t="shared" si="27"/>
        <v>0.55297930507168314</v>
      </c>
      <c r="F30" s="27">
        <f t="shared" si="27"/>
        <v>0.26964178461046306</v>
      </c>
      <c r="G30" s="27">
        <f t="shared" si="27"/>
        <v>0.97168802211206118</v>
      </c>
      <c r="H30" s="27">
        <f t="shared" si="27"/>
        <v>-1.7920117325185032</v>
      </c>
      <c r="I30" s="27">
        <f t="shared" si="27"/>
        <v>57.774699132129129</v>
      </c>
    </row>
    <row r="31" spans="1:9">
      <c r="A31">
        <v>2036</v>
      </c>
      <c r="B31" s="27">
        <f t="shared" ref="B31:B34" si="28">K$10</f>
        <v>53.596368859446137</v>
      </c>
      <c r="C31" s="27">
        <f t="shared" ref="C31:C34" si="29">L$10</f>
        <v>0.13140612425033818</v>
      </c>
      <c r="D31" s="27">
        <f t="shared" ref="D31:D34" si="30">M$10</f>
        <v>4.0446267691569444</v>
      </c>
      <c r="E31" s="27">
        <f t="shared" ref="E31:E34" si="31">N$10</f>
        <v>0.55297930507168314</v>
      </c>
      <c r="F31" s="27">
        <f t="shared" ref="F31:F34" si="32">O$10</f>
        <v>0.26964178461046306</v>
      </c>
      <c r="G31" s="27">
        <f t="shared" ref="G31:G34" si="33">P$10</f>
        <v>0.97168802211206118</v>
      </c>
      <c r="H31" s="27">
        <f t="shared" ref="H31:H34" si="34">Q$10</f>
        <v>-1.7920117325185032</v>
      </c>
      <c r="I31" s="27">
        <f t="shared" ref="I31:I34" si="35">R$10</f>
        <v>57.774699132129129</v>
      </c>
    </row>
    <row r="32" spans="1:9">
      <c r="A32">
        <v>2037</v>
      </c>
      <c r="B32" s="27">
        <f t="shared" si="28"/>
        <v>53.596368859446137</v>
      </c>
      <c r="C32" s="27">
        <f t="shared" si="29"/>
        <v>0.13140612425033818</v>
      </c>
      <c r="D32" s="27">
        <f t="shared" si="30"/>
        <v>4.0446267691569444</v>
      </c>
      <c r="E32" s="27">
        <f t="shared" si="31"/>
        <v>0.55297930507168314</v>
      </c>
      <c r="F32" s="27">
        <f t="shared" si="32"/>
        <v>0.26964178461046306</v>
      </c>
      <c r="G32" s="27">
        <f t="shared" si="33"/>
        <v>0.97168802211206118</v>
      </c>
      <c r="H32" s="27">
        <f t="shared" si="34"/>
        <v>-1.7920117325185032</v>
      </c>
      <c r="I32" s="27">
        <f t="shared" si="35"/>
        <v>57.774699132129129</v>
      </c>
    </row>
    <row r="33" spans="1:9">
      <c r="A33">
        <v>2038</v>
      </c>
      <c r="B33" s="27">
        <f t="shared" si="28"/>
        <v>53.596368859446137</v>
      </c>
      <c r="C33" s="27">
        <f t="shared" si="29"/>
        <v>0.13140612425033818</v>
      </c>
      <c r="D33" s="27">
        <f t="shared" si="30"/>
        <v>4.0446267691569444</v>
      </c>
      <c r="E33" s="27">
        <f t="shared" si="31"/>
        <v>0.55297930507168314</v>
      </c>
      <c r="F33" s="27">
        <f t="shared" si="32"/>
        <v>0.26964178461046306</v>
      </c>
      <c r="G33" s="27">
        <f t="shared" si="33"/>
        <v>0.97168802211206118</v>
      </c>
      <c r="H33" s="27">
        <f t="shared" si="34"/>
        <v>-1.7920117325185032</v>
      </c>
      <c r="I33" s="27">
        <f t="shared" si="35"/>
        <v>57.774699132129129</v>
      </c>
    </row>
    <row r="34" spans="1:9">
      <c r="A34">
        <v>2039</v>
      </c>
      <c r="B34" s="27">
        <f t="shared" si="28"/>
        <v>53.596368859446137</v>
      </c>
      <c r="C34" s="27">
        <f t="shared" si="29"/>
        <v>0.13140612425033818</v>
      </c>
      <c r="D34" s="27">
        <f t="shared" si="30"/>
        <v>4.0446267691569444</v>
      </c>
      <c r="E34" s="27">
        <f t="shared" si="31"/>
        <v>0.55297930507168314</v>
      </c>
      <c r="F34" s="27">
        <f t="shared" si="32"/>
        <v>0.26964178461046306</v>
      </c>
      <c r="G34" s="27">
        <f t="shared" si="33"/>
        <v>0.97168802211206118</v>
      </c>
      <c r="H34" s="27">
        <f t="shared" si="34"/>
        <v>-1.7920117325185032</v>
      </c>
      <c r="I34" s="27">
        <f t="shared" si="35"/>
        <v>57.774699132129129</v>
      </c>
    </row>
    <row r="35" spans="1:9">
      <c r="A35">
        <v>2040</v>
      </c>
      <c r="B35" s="27">
        <f>K$11</f>
        <v>62.880786549023739</v>
      </c>
      <c r="C35" s="27">
        <f t="shared" ref="C35:I35" si="36">L$11</f>
        <v>0.1412521185913658</v>
      </c>
      <c r="D35" s="27">
        <f t="shared" si="36"/>
        <v>4.3539332577524723</v>
      </c>
      <c r="E35" s="27">
        <f t="shared" si="36"/>
        <v>0.61563722888905714</v>
      </c>
      <c r="F35" s="27">
        <f t="shared" si="36"/>
        <v>0.29026221718349815</v>
      </c>
      <c r="G35" s="27">
        <f t="shared" si="36"/>
        <v>1.1430192656711016</v>
      </c>
      <c r="H35" s="27">
        <f t="shared" si="36"/>
        <v>-1.5438431658098191</v>
      </c>
      <c r="I35" s="27">
        <f t="shared" si="36"/>
        <v>67.881047471301414</v>
      </c>
    </row>
    <row r="36" spans="1:9">
      <c r="A36">
        <v>2041</v>
      </c>
      <c r="B36" s="27">
        <f t="shared" ref="B36:B39" si="37">K$11</f>
        <v>62.880786549023739</v>
      </c>
      <c r="C36" s="27">
        <f t="shared" ref="C36:C39" si="38">L$11</f>
        <v>0.1412521185913658</v>
      </c>
      <c r="D36" s="27">
        <f t="shared" ref="D36:D39" si="39">M$11</f>
        <v>4.3539332577524723</v>
      </c>
      <c r="E36" s="27">
        <f t="shared" ref="E36:E39" si="40">N$11</f>
        <v>0.61563722888905714</v>
      </c>
      <c r="F36" s="27">
        <f t="shared" ref="F36:F39" si="41">O$11</f>
        <v>0.29026221718349815</v>
      </c>
      <c r="G36" s="27">
        <f t="shared" ref="G36:G39" si="42">P$11</f>
        <v>1.1430192656711016</v>
      </c>
      <c r="H36" s="27">
        <f t="shared" ref="H36:H39" si="43">Q$11</f>
        <v>-1.5438431658098191</v>
      </c>
      <c r="I36" s="27">
        <f t="shared" ref="I36:I39" si="44">R$11</f>
        <v>67.881047471301414</v>
      </c>
    </row>
    <row r="37" spans="1:9">
      <c r="A37">
        <v>2042</v>
      </c>
      <c r="B37" s="27">
        <f t="shared" si="37"/>
        <v>62.880786549023739</v>
      </c>
      <c r="C37" s="27">
        <f t="shared" si="38"/>
        <v>0.1412521185913658</v>
      </c>
      <c r="D37" s="27">
        <f t="shared" si="39"/>
        <v>4.3539332577524723</v>
      </c>
      <c r="E37" s="27">
        <f t="shared" si="40"/>
        <v>0.61563722888905714</v>
      </c>
      <c r="F37" s="27">
        <f t="shared" si="41"/>
        <v>0.29026221718349815</v>
      </c>
      <c r="G37" s="27">
        <f t="shared" si="42"/>
        <v>1.1430192656711016</v>
      </c>
      <c r="H37" s="27">
        <f t="shared" si="43"/>
        <v>-1.5438431658098191</v>
      </c>
      <c r="I37" s="27">
        <f t="shared" si="44"/>
        <v>67.881047471301414</v>
      </c>
    </row>
    <row r="38" spans="1:9">
      <c r="A38">
        <v>2043</v>
      </c>
      <c r="B38" s="27">
        <f t="shared" si="37"/>
        <v>62.880786549023739</v>
      </c>
      <c r="C38" s="27">
        <f t="shared" si="38"/>
        <v>0.1412521185913658</v>
      </c>
      <c r="D38" s="27">
        <f t="shared" si="39"/>
        <v>4.3539332577524723</v>
      </c>
      <c r="E38" s="27">
        <f t="shared" si="40"/>
        <v>0.61563722888905714</v>
      </c>
      <c r="F38" s="27">
        <f t="shared" si="41"/>
        <v>0.29026221718349815</v>
      </c>
      <c r="G38" s="27">
        <f t="shared" si="42"/>
        <v>1.1430192656711016</v>
      </c>
      <c r="H38" s="27">
        <f t="shared" si="43"/>
        <v>-1.5438431658098191</v>
      </c>
      <c r="I38" s="27">
        <f t="shared" si="44"/>
        <v>67.881047471301414</v>
      </c>
    </row>
    <row r="39" spans="1:9">
      <c r="A39">
        <v>2044</v>
      </c>
      <c r="B39" s="27">
        <f t="shared" si="37"/>
        <v>62.880786549023739</v>
      </c>
      <c r="C39" s="27">
        <f t="shared" si="38"/>
        <v>0.1412521185913658</v>
      </c>
      <c r="D39" s="27">
        <f t="shared" si="39"/>
        <v>4.3539332577524723</v>
      </c>
      <c r="E39" s="27">
        <f t="shared" si="40"/>
        <v>0.61563722888905714</v>
      </c>
      <c r="F39" s="27">
        <f t="shared" si="41"/>
        <v>0.29026221718349815</v>
      </c>
      <c r="G39" s="27">
        <f t="shared" si="42"/>
        <v>1.1430192656711016</v>
      </c>
      <c r="H39" s="27">
        <f t="shared" si="43"/>
        <v>-1.5438431658098191</v>
      </c>
      <c r="I39" s="27">
        <f t="shared" si="44"/>
        <v>67.881047471301414</v>
      </c>
    </row>
    <row r="40" spans="1:9">
      <c r="A40">
        <v>2045</v>
      </c>
      <c r="B40" s="27">
        <f>K$12</f>
        <v>71.965084785746981</v>
      </c>
      <c r="C40" s="27">
        <f t="shared" ref="C40:I40" si="45">L$12</f>
        <v>0.15108474967475979</v>
      </c>
      <c r="D40" s="27">
        <f t="shared" si="45"/>
        <v>4.6723892010179489</v>
      </c>
      <c r="E40" s="27">
        <f t="shared" si="45"/>
        <v>0.64385058958117158</v>
      </c>
      <c r="F40" s="27">
        <f t="shared" si="45"/>
        <v>0.31149261340119666</v>
      </c>
      <c r="G40" s="27">
        <f t="shared" si="45"/>
        <v>1.273608467467745</v>
      </c>
      <c r="H40" s="27">
        <f t="shared" si="45"/>
        <v>-1.3434217459927593</v>
      </c>
      <c r="I40" s="27">
        <f t="shared" si="45"/>
        <v>77.674088660897056</v>
      </c>
    </row>
    <row r="41" spans="1:9">
      <c r="A41">
        <v>2046</v>
      </c>
      <c r="B41" s="27">
        <f t="shared" ref="B41:B44" si="46">K$12</f>
        <v>71.965084785746981</v>
      </c>
      <c r="C41" s="27">
        <f t="shared" ref="C41:C44" si="47">L$12</f>
        <v>0.15108474967475979</v>
      </c>
      <c r="D41" s="27">
        <f t="shared" ref="D41:D44" si="48">M$12</f>
        <v>4.6723892010179489</v>
      </c>
      <c r="E41" s="27">
        <f t="shared" ref="E41:E44" si="49">N$12</f>
        <v>0.64385058958117158</v>
      </c>
      <c r="F41" s="27">
        <f t="shared" ref="F41:F44" si="50">O$12</f>
        <v>0.31149261340119666</v>
      </c>
      <c r="G41" s="27">
        <f t="shared" ref="G41:G44" si="51">P$12</f>
        <v>1.273608467467745</v>
      </c>
      <c r="H41" s="27">
        <f t="shared" ref="H41:H44" si="52">Q$12</f>
        <v>-1.3434217459927593</v>
      </c>
      <c r="I41" s="27">
        <f t="shared" ref="I41:I44" si="53">R$12</f>
        <v>77.674088660897056</v>
      </c>
    </row>
    <row r="42" spans="1:9">
      <c r="A42">
        <v>2047</v>
      </c>
      <c r="B42" s="27">
        <f t="shared" si="46"/>
        <v>71.965084785746981</v>
      </c>
      <c r="C42" s="27">
        <f t="shared" si="47"/>
        <v>0.15108474967475979</v>
      </c>
      <c r="D42" s="27">
        <f t="shared" si="48"/>
        <v>4.6723892010179489</v>
      </c>
      <c r="E42" s="27">
        <f t="shared" si="49"/>
        <v>0.64385058958117158</v>
      </c>
      <c r="F42" s="27">
        <f t="shared" si="50"/>
        <v>0.31149261340119666</v>
      </c>
      <c r="G42" s="27">
        <f t="shared" si="51"/>
        <v>1.273608467467745</v>
      </c>
      <c r="H42" s="27">
        <f t="shared" si="52"/>
        <v>-1.3434217459927593</v>
      </c>
      <c r="I42" s="27">
        <f t="shared" si="53"/>
        <v>77.674088660897056</v>
      </c>
    </row>
    <row r="43" spans="1:9">
      <c r="A43">
        <v>2048</v>
      </c>
      <c r="B43" s="27">
        <f t="shared" si="46"/>
        <v>71.965084785746981</v>
      </c>
      <c r="C43" s="27">
        <f t="shared" si="47"/>
        <v>0.15108474967475979</v>
      </c>
      <c r="D43" s="27">
        <f t="shared" si="48"/>
        <v>4.6723892010179489</v>
      </c>
      <c r="E43" s="27">
        <f t="shared" si="49"/>
        <v>0.64385058958117158</v>
      </c>
      <c r="F43" s="27">
        <f t="shared" si="50"/>
        <v>0.31149261340119666</v>
      </c>
      <c r="G43" s="27">
        <f t="shared" si="51"/>
        <v>1.273608467467745</v>
      </c>
      <c r="H43" s="27">
        <f t="shared" si="52"/>
        <v>-1.3434217459927593</v>
      </c>
      <c r="I43" s="27">
        <f t="shared" si="53"/>
        <v>77.674088660897056</v>
      </c>
    </row>
    <row r="44" spans="1:9">
      <c r="A44">
        <v>2049</v>
      </c>
      <c r="B44" s="27">
        <f t="shared" si="46"/>
        <v>71.965084785746981</v>
      </c>
      <c r="C44" s="27">
        <f t="shared" si="47"/>
        <v>0.15108474967475979</v>
      </c>
      <c r="D44" s="27">
        <f t="shared" si="48"/>
        <v>4.6723892010179489</v>
      </c>
      <c r="E44" s="27">
        <f t="shared" si="49"/>
        <v>0.64385058958117158</v>
      </c>
      <c r="F44" s="27">
        <f t="shared" si="50"/>
        <v>0.31149261340119666</v>
      </c>
      <c r="G44" s="27">
        <f t="shared" si="51"/>
        <v>1.273608467467745</v>
      </c>
      <c r="H44" s="27">
        <f t="shared" si="52"/>
        <v>-1.3434217459927593</v>
      </c>
      <c r="I44" s="27">
        <f t="shared" si="53"/>
        <v>77.674088660897056</v>
      </c>
    </row>
    <row r="45" spans="1:9">
      <c r="A45">
        <v>2050</v>
      </c>
      <c r="B45" s="27">
        <f>K$13</f>
        <v>78.860531236954202</v>
      </c>
      <c r="C45" s="27">
        <f t="shared" ref="C45:I45" si="54">L$13</f>
        <v>0.16109337675477978</v>
      </c>
      <c r="D45" s="27">
        <f t="shared" si="54"/>
        <v>5.0103960148374851</v>
      </c>
      <c r="E45" s="27">
        <f t="shared" si="54"/>
        <v>0.67619017918090973</v>
      </c>
      <c r="F45" s="27">
        <f t="shared" si="54"/>
        <v>0.33402640098916581</v>
      </c>
      <c r="G45" s="27">
        <f t="shared" si="54"/>
        <v>1.3799915325743779</v>
      </c>
      <c r="H45" s="27">
        <f t="shared" si="54"/>
        <v>-1.1710919251851959</v>
      </c>
      <c r="I45" s="27">
        <f t="shared" si="54"/>
        <v>85.251136816105713</v>
      </c>
    </row>
    <row r="46" spans="1:9">
      <c r="A46">
        <v>2051</v>
      </c>
      <c r="B46" s="27">
        <f>K$13</f>
        <v>78.860531236954202</v>
      </c>
      <c r="C46" s="27">
        <f t="shared" ref="C46" si="55">L$13</f>
        <v>0.16109337675477978</v>
      </c>
      <c r="D46" s="27">
        <f t="shared" ref="D46" si="56">M$13</f>
        <v>5.0103960148374851</v>
      </c>
      <c r="E46" s="27">
        <f t="shared" ref="E46" si="57">N$13</f>
        <v>0.67619017918090973</v>
      </c>
      <c r="F46" s="27">
        <f t="shared" ref="F46" si="58">O$13</f>
        <v>0.33402640098916581</v>
      </c>
      <c r="G46" s="27">
        <f t="shared" ref="G46" si="59">P$13</f>
        <v>1.3799915325743779</v>
      </c>
      <c r="H46" s="27">
        <f t="shared" ref="H46" si="60">Q$13</f>
        <v>-1.1710919251851959</v>
      </c>
      <c r="I46" s="27">
        <f t="shared" ref="I46" si="61">R$13</f>
        <v>85.251136816105713</v>
      </c>
    </row>
    <row r="48" spans="1:9" s="15" customFormat="1">
      <c r="A48" s="24" t="s">
        <v>66</v>
      </c>
    </row>
    <row r="49" spans="1:4">
      <c r="A49" s="6">
        <v>3.5000000000000003E-2</v>
      </c>
      <c r="B49" t="s">
        <v>67</v>
      </c>
      <c r="D49" t="s">
        <v>68</v>
      </c>
    </row>
    <row r="50" spans="1:4">
      <c r="A50" t="s">
        <v>72</v>
      </c>
    </row>
    <row r="51" spans="1:4">
      <c r="A51" s="30">
        <v>2022</v>
      </c>
      <c r="B51" s="30"/>
      <c r="C51" s="31">
        <v>1</v>
      </c>
      <c r="D51" s="30" t="s">
        <v>69</v>
      </c>
    </row>
    <row r="52" spans="1:4">
      <c r="A52" s="30">
        <v>2023</v>
      </c>
      <c r="B52" s="30"/>
      <c r="C52" s="32">
        <f>C51*(1-$A$49)</f>
        <v>0.96499999999999997</v>
      </c>
      <c r="D52" s="30" t="s">
        <v>73</v>
      </c>
    </row>
    <row r="53" spans="1:4">
      <c r="A53" s="30">
        <v>2024</v>
      </c>
      <c r="B53" s="30"/>
      <c r="C53" s="32">
        <f t="shared" ref="C53:C80" si="62">C52*(1-$A$49)</f>
        <v>0.93122499999999997</v>
      </c>
      <c r="D53" s="30" t="s">
        <v>70</v>
      </c>
    </row>
    <row r="54" spans="1:4">
      <c r="A54" s="30">
        <v>2025</v>
      </c>
      <c r="B54" s="30"/>
      <c r="C54" s="32">
        <f t="shared" si="62"/>
        <v>0.89863212499999989</v>
      </c>
      <c r="D54" s="30"/>
    </row>
    <row r="55" spans="1:4">
      <c r="A55" s="30">
        <v>2026</v>
      </c>
      <c r="B55" s="30"/>
      <c r="C55" s="32">
        <f t="shared" si="62"/>
        <v>0.86718000062499989</v>
      </c>
      <c r="D55" s="30"/>
    </row>
    <row r="56" spans="1:4">
      <c r="A56" s="30">
        <v>2027</v>
      </c>
      <c r="B56" s="30"/>
      <c r="C56" s="32">
        <f t="shared" si="62"/>
        <v>0.83682870060312486</v>
      </c>
      <c r="D56" s="30"/>
    </row>
    <row r="57" spans="1:4">
      <c r="A57" s="30">
        <v>2028</v>
      </c>
      <c r="B57" s="30"/>
      <c r="C57" s="32">
        <f t="shared" si="62"/>
        <v>0.80753969608201548</v>
      </c>
      <c r="D57" s="30"/>
    </row>
    <row r="58" spans="1:4">
      <c r="A58" s="30">
        <v>2029</v>
      </c>
      <c r="B58" s="30"/>
      <c r="C58" s="32">
        <f t="shared" si="62"/>
        <v>0.77927580671914487</v>
      </c>
      <c r="D58" s="30"/>
    </row>
    <row r="59" spans="1:4">
      <c r="A59" s="30">
        <v>2030</v>
      </c>
      <c r="B59" s="30"/>
      <c r="C59" s="32">
        <f t="shared" si="62"/>
        <v>0.75200115348397478</v>
      </c>
      <c r="D59" s="30"/>
    </row>
    <row r="60" spans="1:4">
      <c r="A60" s="30">
        <v>2031</v>
      </c>
      <c r="B60" s="30"/>
      <c r="C60" s="32">
        <f t="shared" si="62"/>
        <v>0.72568111311203565</v>
      </c>
      <c r="D60" s="30"/>
    </row>
    <row r="61" spans="1:4">
      <c r="A61" s="30">
        <v>2032</v>
      </c>
      <c r="B61" s="30"/>
      <c r="C61" s="32">
        <f t="shared" si="62"/>
        <v>0.70028227415311439</v>
      </c>
      <c r="D61" s="30"/>
    </row>
    <row r="62" spans="1:4">
      <c r="A62" s="30">
        <v>2033</v>
      </c>
      <c r="B62" s="30"/>
      <c r="C62" s="32">
        <f t="shared" si="62"/>
        <v>0.6757723945577554</v>
      </c>
      <c r="D62" s="30"/>
    </row>
    <row r="63" spans="1:4">
      <c r="A63" s="30">
        <v>2034</v>
      </c>
      <c r="B63" s="30"/>
      <c r="C63" s="32">
        <f t="shared" si="62"/>
        <v>0.65212036074823398</v>
      </c>
      <c r="D63" s="30"/>
    </row>
    <row r="64" spans="1:4">
      <c r="A64" s="30">
        <v>2035</v>
      </c>
      <c r="B64" s="30"/>
      <c r="C64" s="32">
        <f t="shared" si="62"/>
        <v>0.62929614812204582</v>
      </c>
      <c r="D64" s="30"/>
    </row>
    <row r="65" spans="1:4">
      <c r="A65" s="30">
        <v>2036</v>
      </c>
      <c r="B65" s="30"/>
      <c r="C65" s="32">
        <f t="shared" si="62"/>
        <v>0.60727078293777415</v>
      </c>
      <c r="D65" s="30"/>
    </row>
    <row r="66" spans="1:4">
      <c r="A66" s="30">
        <v>2037</v>
      </c>
      <c r="B66" s="30"/>
      <c r="C66" s="32">
        <f t="shared" si="62"/>
        <v>0.58601630553495199</v>
      </c>
      <c r="D66" s="30"/>
    </row>
    <row r="67" spans="1:4">
      <c r="A67" s="30">
        <v>2038</v>
      </c>
      <c r="B67" s="30"/>
      <c r="C67" s="32">
        <f t="shared" si="62"/>
        <v>0.56550573484122868</v>
      </c>
      <c r="D67" s="30"/>
    </row>
    <row r="68" spans="1:4">
      <c r="A68" s="30">
        <v>2039</v>
      </c>
      <c r="B68" s="30"/>
      <c r="C68" s="32">
        <f t="shared" si="62"/>
        <v>0.54571303412178562</v>
      </c>
      <c r="D68" s="30"/>
    </row>
    <row r="69" spans="1:4">
      <c r="A69" s="30">
        <v>2040</v>
      </c>
      <c r="B69" s="30"/>
      <c r="C69" s="32">
        <f t="shared" si="62"/>
        <v>0.5266130779275231</v>
      </c>
      <c r="D69" s="30"/>
    </row>
    <row r="70" spans="1:4">
      <c r="A70" s="30">
        <v>2041</v>
      </c>
      <c r="B70" s="30"/>
      <c r="C70" s="32">
        <f t="shared" si="62"/>
        <v>0.50818162020005975</v>
      </c>
      <c r="D70" s="30"/>
    </row>
    <row r="71" spans="1:4">
      <c r="A71" s="30">
        <v>2042</v>
      </c>
      <c r="C71" s="32">
        <f t="shared" si="62"/>
        <v>0.49039526349305762</v>
      </c>
    </row>
    <row r="72" spans="1:4">
      <c r="A72" s="30">
        <v>2043</v>
      </c>
      <c r="C72" s="32">
        <f t="shared" si="62"/>
        <v>0.47323142927080059</v>
      </c>
    </row>
    <row r="73" spans="1:4">
      <c r="A73" s="30">
        <v>2044</v>
      </c>
      <c r="C73" s="32">
        <f t="shared" si="62"/>
        <v>0.45666832924632256</v>
      </c>
    </row>
    <row r="74" spans="1:4">
      <c r="A74" s="30">
        <v>2045</v>
      </c>
      <c r="C74" s="32">
        <f t="shared" si="62"/>
        <v>0.44068493772270123</v>
      </c>
    </row>
    <row r="75" spans="1:4">
      <c r="A75" s="30">
        <v>2046</v>
      </c>
      <c r="C75" s="32">
        <f t="shared" si="62"/>
        <v>0.42526096490240667</v>
      </c>
    </row>
    <row r="76" spans="1:4">
      <c r="A76" s="30">
        <v>2047</v>
      </c>
      <c r="C76" s="32">
        <f t="shared" si="62"/>
        <v>0.41037683113082241</v>
      </c>
    </row>
    <row r="77" spans="1:4">
      <c r="A77" s="30">
        <v>2048</v>
      </c>
      <c r="C77" s="32">
        <f t="shared" si="62"/>
        <v>0.39601364204124362</v>
      </c>
    </row>
    <row r="78" spans="1:4">
      <c r="A78" s="30">
        <v>2049</v>
      </c>
      <c r="C78" s="32">
        <f t="shared" si="62"/>
        <v>0.38215316456980009</v>
      </c>
    </row>
    <row r="79" spans="1:4">
      <c r="A79" s="30">
        <v>2050</v>
      </c>
      <c r="C79" s="32">
        <f t="shared" si="62"/>
        <v>0.36877780380985709</v>
      </c>
    </row>
    <row r="80" spans="1:4">
      <c r="A80" s="30">
        <v>2051</v>
      </c>
      <c r="C80" s="32">
        <f t="shared" si="62"/>
        <v>0.35587058067651206</v>
      </c>
    </row>
    <row r="82" spans="1:3" s="15" customFormat="1">
      <c r="A82" s="24" t="s">
        <v>74</v>
      </c>
    </row>
    <row r="83" spans="1:3">
      <c r="A83" s="33" t="s">
        <v>75</v>
      </c>
      <c r="C83">
        <v>100</v>
      </c>
    </row>
    <row r="84" spans="1:3" ht="13.5" customHeight="1">
      <c r="A84" s="34" t="s">
        <v>76</v>
      </c>
      <c r="B84" s="35"/>
      <c r="C84" s="36" t="s">
        <v>77</v>
      </c>
    </row>
    <row r="85" spans="1:3" ht="13.5" customHeight="1">
      <c r="A85" s="37">
        <v>2020</v>
      </c>
      <c r="B85" s="39"/>
      <c r="C85" s="38">
        <v>124.40549723011161</v>
      </c>
    </row>
    <row r="86" spans="1:3" ht="13.5" customHeight="1">
      <c r="A86" s="37">
        <v>2021</v>
      </c>
      <c r="B86" s="39"/>
      <c r="C86" s="38">
        <v>125.73840851322136</v>
      </c>
    </row>
    <row r="87" spans="1:3" ht="13.5" customHeight="1">
      <c r="A87" s="37">
        <v>2022</v>
      </c>
      <c r="B87" s="39"/>
      <c r="C87" s="38">
        <v>123.97604593093958</v>
      </c>
    </row>
    <row r="88" spans="1:3" ht="13.5" customHeight="1">
      <c r="A88" s="37">
        <v>2023</v>
      </c>
      <c r="B88" s="39"/>
      <c r="C88" s="38">
        <v>126.14492937615091</v>
      </c>
    </row>
    <row r="89" spans="1:3" ht="15.45" customHeight="1">
      <c r="A89" s="37">
        <v>2024</v>
      </c>
      <c r="B89" s="39"/>
      <c r="C89" s="38">
        <v>128.85138757311577</v>
      </c>
    </row>
    <row r="90" spans="1:3">
      <c r="A90" s="37">
        <v>2025</v>
      </c>
      <c r="B90" s="39"/>
      <c r="C90" s="38">
        <v>131.59551744269999</v>
      </c>
    </row>
    <row r="91" spans="1:3">
      <c r="A91" s="37">
        <v>2026</v>
      </c>
      <c r="B91" s="39"/>
      <c r="C91" s="38">
        <v>134.62221434388206</v>
      </c>
    </row>
    <row r="92" spans="1:3">
      <c r="A92" s="37">
        <v>2027</v>
      </c>
      <c r="B92" s="39"/>
      <c r="C92" s="38">
        <v>137.71852527379133</v>
      </c>
    </row>
    <row r="93" spans="1:3">
      <c r="A93" s="37">
        <v>2028</v>
      </c>
      <c r="B93" s="39"/>
      <c r="C93" s="38">
        <v>140.88605135508851</v>
      </c>
    </row>
    <row r="94" spans="1:3">
      <c r="A94" s="37">
        <v>2029</v>
      </c>
      <c r="B94" s="39"/>
      <c r="C94" s="38">
        <v>144.12643053625553</v>
      </c>
    </row>
    <row r="95" spans="1:3">
      <c r="A95" s="37">
        <v>2030</v>
      </c>
      <c r="B95" s="39"/>
      <c r="C95" s="38">
        <v>147.44133843858941</v>
      </c>
    </row>
    <row r="96" spans="1:3">
      <c r="A96" s="37">
        <v>2031</v>
      </c>
      <c r="B96" s="39"/>
      <c r="C96" s="38">
        <v>150.83248922267694</v>
      </c>
    </row>
    <row r="97" spans="1:3">
      <c r="A97" s="37">
        <v>2032</v>
      </c>
      <c r="B97" s="39"/>
      <c r="C97" s="38">
        <v>154.3016364747985</v>
      </c>
    </row>
    <row r="98" spans="1:3">
      <c r="A98" s="37">
        <v>2033</v>
      </c>
      <c r="B98" s="39"/>
      <c r="C98" s="38">
        <v>157.85057411371886</v>
      </c>
    </row>
    <row r="99" spans="1:3">
      <c r="A99" s="37">
        <v>2034</v>
      </c>
      <c r="B99" s="39"/>
      <c r="C99" s="38">
        <v>161.48113731833439</v>
      </c>
    </row>
    <row r="100" spans="1:3">
      <c r="A100" s="37">
        <v>2035</v>
      </c>
      <c r="B100" s="39"/>
      <c r="C100" s="38">
        <v>165.19520347665605</v>
      </c>
    </row>
    <row r="101" spans="1:3">
      <c r="A101" s="37">
        <v>2036</v>
      </c>
      <c r="B101" s="39"/>
      <c r="C101" s="38">
        <v>168.99469315661912</v>
      </c>
    </row>
    <row r="102" spans="1:3">
      <c r="A102" s="37">
        <v>2037</v>
      </c>
      <c r="B102" s="39"/>
      <c r="C102" s="38">
        <v>172.88157109922136</v>
      </c>
    </row>
    <row r="103" spans="1:3">
      <c r="A103" s="37">
        <v>2038</v>
      </c>
      <c r="B103" s="39"/>
      <c r="C103" s="38">
        <v>176.85784723450345</v>
      </c>
    </row>
    <row r="104" spans="1:3">
      <c r="A104" s="37">
        <v>2039</v>
      </c>
      <c r="B104" s="39"/>
      <c r="C104" s="38">
        <v>180.92557772089697</v>
      </c>
    </row>
    <row r="105" spans="1:3">
      <c r="A105" s="37">
        <v>2040</v>
      </c>
      <c r="B105" s="39"/>
      <c r="C105" s="38">
        <v>185.08686600847761</v>
      </c>
    </row>
    <row r="106" spans="1:3">
      <c r="A106" s="37">
        <v>2041</v>
      </c>
      <c r="B106" s="39"/>
      <c r="C106" s="38">
        <v>189.34386392667255</v>
      </c>
    </row>
    <row r="107" spans="1:3">
      <c r="A107" s="37">
        <v>2042</v>
      </c>
      <c r="B107" s="39"/>
      <c r="C107" s="38">
        <v>193.69877279698599</v>
      </c>
    </row>
    <row r="108" spans="1:3">
      <c r="A108" s="37">
        <v>2043</v>
      </c>
      <c r="B108" s="39"/>
      <c r="C108" s="38">
        <v>198.15384457131665</v>
      </c>
    </row>
    <row r="109" spans="1:3">
      <c r="A109" s="37">
        <v>2044</v>
      </c>
      <c r="B109" s="39"/>
      <c r="C109" s="38">
        <v>202.7113829964569</v>
      </c>
    </row>
    <row r="110" spans="1:3">
      <c r="A110" s="37">
        <v>2045</v>
      </c>
      <c r="B110" s="39"/>
      <c r="C110" s="38">
        <v>207.3737448053754</v>
      </c>
    </row>
    <row r="111" spans="1:3">
      <c r="A111" s="37">
        <v>2046</v>
      </c>
      <c r="B111" s="39"/>
      <c r="C111" s="38">
        <v>212.143340935899</v>
      </c>
    </row>
    <row r="112" spans="1:3">
      <c r="A112" s="37">
        <v>2047</v>
      </c>
      <c r="B112" s="39"/>
      <c r="C112" s="38">
        <v>217.02263777742465</v>
      </c>
    </row>
    <row r="113" spans="1:6">
      <c r="A113" s="37">
        <v>2048</v>
      </c>
      <c r="B113" s="39"/>
      <c r="C113" s="38">
        <v>222.01415844630543</v>
      </c>
    </row>
    <row r="114" spans="1:6">
      <c r="A114" s="37">
        <v>2049</v>
      </c>
      <c r="B114" s="39"/>
      <c r="C114" s="38">
        <v>227.12048409057041</v>
      </c>
    </row>
    <row r="115" spans="1:6">
      <c r="A115" s="37">
        <v>2050</v>
      </c>
      <c r="B115" s="39"/>
      <c r="C115" s="38">
        <v>232.34425522465355</v>
      </c>
    </row>
    <row r="116" spans="1:6">
      <c r="A116" s="37">
        <v>2051</v>
      </c>
      <c r="B116" s="39"/>
      <c r="C116" s="38">
        <v>237.68817309482054</v>
      </c>
    </row>
    <row r="120" spans="1:6" s="15" customFormat="1">
      <c r="A120" s="24" t="s">
        <v>390</v>
      </c>
    </row>
    <row r="122" spans="1:6">
      <c r="A122" t="s">
        <v>389</v>
      </c>
    </row>
    <row r="123" spans="1:6">
      <c r="B123" t="s">
        <v>76</v>
      </c>
      <c r="D123" t="s">
        <v>388</v>
      </c>
      <c r="E123" t="s">
        <v>387</v>
      </c>
      <c r="F123" t="s">
        <v>386</v>
      </c>
    </row>
    <row r="124" spans="1:6">
      <c r="B124">
        <v>2010</v>
      </c>
      <c r="D124">
        <v>26.054415153784074</v>
      </c>
      <c r="E124">
        <v>52.108830307568148</v>
      </c>
      <c r="F124">
        <v>78.163245461352219</v>
      </c>
    </row>
    <row r="125" spans="1:6">
      <c r="B125">
        <v>2011</v>
      </c>
      <c r="D125">
        <v>26.054415153784074</v>
      </c>
      <c r="E125">
        <v>52.977310812694284</v>
      </c>
      <c r="F125">
        <v>79.031725966478362</v>
      </c>
    </row>
    <row r="126" spans="1:6">
      <c r="B126">
        <v>2012</v>
      </c>
      <c r="D126">
        <v>26.92289565891021</v>
      </c>
      <c r="E126">
        <v>52.977310812694284</v>
      </c>
      <c r="F126">
        <v>79.900206471604491</v>
      </c>
    </row>
    <row r="127" spans="1:6">
      <c r="B127">
        <v>2013</v>
      </c>
      <c r="D127">
        <v>26.92289565891021</v>
      </c>
      <c r="E127">
        <v>53.845791317820421</v>
      </c>
      <c r="F127">
        <v>81.637167481856764</v>
      </c>
    </row>
    <row r="128" spans="1:6">
      <c r="B128">
        <v>2014</v>
      </c>
      <c r="D128">
        <v>27.791376164036347</v>
      </c>
      <c r="E128">
        <v>54.714271822946557</v>
      </c>
      <c r="F128">
        <v>82.505647986982908</v>
      </c>
    </row>
    <row r="129" spans="2:6">
      <c r="B129">
        <v>2015</v>
      </c>
      <c r="D129">
        <v>27.791376164036347</v>
      </c>
      <c r="E129">
        <v>55.582752328072694</v>
      </c>
      <c r="F129">
        <v>83.374128492109037</v>
      </c>
    </row>
    <row r="130" spans="2:6">
      <c r="B130">
        <v>2016</v>
      </c>
      <c r="D130">
        <v>28.659856669162483</v>
      </c>
      <c r="E130">
        <v>56.45123283319883</v>
      </c>
      <c r="F130">
        <v>85.11108950236131</v>
      </c>
    </row>
    <row r="131" spans="2:6">
      <c r="B131">
        <v>2017</v>
      </c>
      <c r="D131">
        <v>28.659856669162483</v>
      </c>
      <c r="E131">
        <v>57.319713338324966</v>
      </c>
      <c r="F131">
        <v>85.979570007487439</v>
      </c>
    </row>
    <row r="132" spans="2:6">
      <c r="B132">
        <v>2018</v>
      </c>
      <c r="D132">
        <v>29.52833717428862</v>
      </c>
      <c r="E132">
        <v>58.188193843451103</v>
      </c>
      <c r="F132">
        <v>87.716531017739712</v>
      </c>
    </row>
    <row r="133" spans="2:6">
      <c r="B133">
        <v>2019</v>
      </c>
      <c r="D133">
        <v>29.52833717428862</v>
      </c>
      <c r="E133">
        <v>59.056674348577239</v>
      </c>
      <c r="F133">
        <v>88.585011522865855</v>
      </c>
    </row>
    <row r="134" spans="2:6">
      <c r="B134">
        <v>2020</v>
      </c>
      <c r="D134">
        <v>30.396817679414752</v>
      </c>
      <c r="E134">
        <v>59.925154853703368</v>
      </c>
      <c r="F134">
        <v>90.321972533118128</v>
      </c>
    </row>
    <row r="135" spans="2:6">
      <c r="B135">
        <v>2021</v>
      </c>
      <c r="D135">
        <v>30.396817679414752</v>
      </c>
      <c r="E135">
        <v>60.793635358829505</v>
      </c>
      <c r="F135">
        <v>92.058933543370401</v>
      </c>
    </row>
    <row r="136" spans="2:6">
      <c r="B136">
        <v>2022</v>
      </c>
      <c r="D136">
        <v>31.265298184540889</v>
      </c>
      <c r="E136">
        <v>62.530596369081778</v>
      </c>
      <c r="F136">
        <v>92.92741404849653</v>
      </c>
    </row>
    <row r="137" spans="2:6">
      <c r="B137">
        <v>2023</v>
      </c>
      <c r="D137">
        <v>31.265298184540889</v>
      </c>
      <c r="E137">
        <v>63.399076874207914</v>
      </c>
      <c r="F137">
        <v>94.664375058748803</v>
      </c>
    </row>
    <row r="138" spans="2:6">
      <c r="B138">
        <v>2024</v>
      </c>
      <c r="D138">
        <v>32.133778689667025</v>
      </c>
      <c r="E138">
        <v>64.26755737933405</v>
      </c>
      <c r="F138">
        <v>96.401336069001076</v>
      </c>
    </row>
    <row r="139" spans="2:6">
      <c r="B139">
        <v>2025</v>
      </c>
      <c r="D139">
        <v>33.002259194793162</v>
      </c>
      <c r="E139">
        <v>65.13603788446018</v>
      </c>
      <c r="F139">
        <v>98.138297079253348</v>
      </c>
    </row>
    <row r="140" spans="2:6">
      <c r="B140">
        <v>2026</v>
      </c>
      <c r="D140">
        <v>33.002259194793162</v>
      </c>
      <c r="E140">
        <v>66.004518389586323</v>
      </c>
      <c r="F140">
        <v>99.006777584379478</v>
      </c>
    </row>
    <row r="141" spans="2:6">
      <c r="B141">
        <v>2027</v>
      </c>
      <c r="D141">
        <v>33.870739699919298</v>
      </c>
      <c r="E141">
        <v>66.872998894712453</v>
      </c>
      <c r="F141">
        <v>100.74373859463175</v>
      </c>
    </row>
    <row r="142" spans="2:6">
      <c r="B142">
        <v>2028</v>
      </c>
      <c r="D142">
        <v>33.870739699919298</v>
      </c>
      <c r="E142">
        <v>68.609959904964725</v>
      </c>
      <c r="F142">
        <v>102.48069960488402</v>
      </c>
    </row>
    <row r="143" spans="2:6">
      <c r="B143">
        <v>2029</v>
      </c>
      <c r="D143">
        <v>34.739220205045434</v>
      </c>
      <c r="E143">
        <v>69.478440410090869</v>
      </c>
      <c r="F143">
        <v>104.2176606151363</v>
      </c>
    </row>
    <row r="144" spans="2:6">
      <c r="B144">
        <v>2030</v>
      </c>
      <c r="D144">
        <v>34.739220205045434</v>
      </c>
      <c r="E144">
        <v>70.346920915216998</v>
      </c>
      <c r="F144">
        <v>105.08614112026244</v>
      </c>
    </row>
    <row r="145" spans="2:6">
      <c r="B145">
        <v>2031</v>
      </c>
      <c r="D145">
        <v>38.213142225549973</v>
      </c>
      <c r="E145">
        <v>76.426284451099946</v>
      </c>
      <c r="F145">
        <v>114.63942667664993</v>
      </c>
    </row>
    <row r="146" spans="2:6">
      <c r="B146">
        <v>2032</v>
      </c>
      <c r="D146">
        <v>41.687064246054518</v>
      </c>
      <c r="E146">
        <v>83.374128492109037</v>
      </c>
      <c r="F146">
        <v>125.06119273816356</v>
      </c>
    </row>
    <row r="147" spans="2:6">
      <c r="B147">
        <v>2033</v>
      </c>
      <c r="D147">
        <v>45.160986266559064</v>
      </c>
      <c r="E147">
        <v>89.453492027991985</v>
      </c>
      <c r="F147">
        <v>134.61447829455105</v>
      </c>
    </row>
    <row r="148" spans="2:6">
      <c r="B148">
        <v>2034</v>
      </c>
      <c r="D148">
        <v>47.766427781937473</v>
      </c>
      <c r="E148">
        <v>96.401336069001076</v>
      </c>
      <c r="F148">
        <v>144.16776385093854</v>
      </c>
    </row>
    <row r="149" spans="2:6">
      <c r="B149">
        <v>2035</v>
      </c>
      <c r="D149">
        <v>51.240349802442012</v>
      </c>
      <c r="E149">
        <v>102.48069960488402</v>
      </c>
      <c r="F149">
        <v>154.58952991245218</v>
      </c>
    </row>
    <row r="150" spans="2:6">
      <c r="B150">
        <v>2036</v>
      </c>
      <c r="D150">
        <v>54.714271822946557</v>
      </c>
      <c r="E150">
        <v>109.42854364589311</v>
      </c>
      <c r="F150">
        <v>164.14281546883967</v>
      </c>
    </row>
    <row r="151" spans="2:6">
      <c r="B151">
        <v>2037</v>
      </c>
      <c r="D151">
        <v>58.188193843451103</v>
      </c>
      <c r="E151">
        <v>115.50790718177606</v>
      </c>
      <c r="F151">
        <v>173.69610102522716</v>
      </c>
    </row>
    <row r="152" spans="2:6">
      <c r="B152">
        <v>2038</v>
      </c>
      <c r="D152">
        <v>60.793635358829505</v>
      </c>
      <c r="E152">
        <v>122.45575122278515</v>
      </c>
      <c r="F152">
        <v>183.24938658161466</v>
      </c>
    </row>
    <row r="153" spans="2:6">
      <c r="B153">
        <v>2039</v>
      </c>
      <c r="D153">
        <v>64.26755737933405</v>
      </c>
      <c r="E153">
        <v>128.5351147586681</v>
      </c>
      <c r="F153">
        <v>193.67115264312829</v>
      </c>
    </row>
    <row r="154" spans="2:6">
      <c r="B154">
        <v>2040</v>
      </c>
      <c r="D154">
        <v>67.741479399838596</v>
      </c>
      <c r="E154">
        <v>135.48295879967719</v>
      </c>
      <c r="F154">
        <v>203.22443819951579</v>
      </c>
    </row>
    <row r="155" spans="2:6">
      <c r="B155">
        <v>2041</v>
      </c>
      <c r="D155">
        <v>71.215401420343142</v>
      </c>
      <c r="E155">
        <v>141.56232233556014</v>
      </c>
      <c r="F155">
        <v>212.77772375590328</v>
      </c>
    </row>
    <row r="156" spans="2:6">
      <c r="B156">
        <v>2042</v>
      </c>
      <c r="D156">
        <v>73.820842935721544</v>
      </c>
      <c r="E156">
        <v>148.51016637656923</v>
      </c>
      <c r="F156">
        <v>222.33100931229077</v>
      </c>
    </row>
    <row r="157" spans="2:6">
      <c r="B157">
        <v>2043</v>
      </c>
      <c r="D157">
        <v>77.294764956226089</v>
      </c>
      <c r="E157">
        <v>154.58952991245218</v>
      </c>
      <c r="F157">
        <v>232.75277537380441</v>
      </c>
    </row>
    <row r="158" spans="2:6">
      <c r="B158">
        <v>2044</v>
      </c>
      <c r="D158">
        <v>80.768686976730635</v>
      </c>
      <c r="E158">
        <v>161.53737395346127</v>
      </c>
      <c r="F158">
        <v>242.3060609301919</v>
      </c>
    </row>
    <row r="159" spans="2:6">
      <c r="B159">
        <v>2045</v>
      </c>
      <c r="D159">
        <v>84.24260899723518</v>
      </c>
      <c r="E159">
        <v>167.61673748934422</v>
      </c>
      <c r="F159">
        <v>251.8593464865794</v>
      </c>
    </row>
    <row r="160" spans="2:6">
      <c r="B160">
        <v>2046</v>
      </c>
      <c r="D160">
        <v>86.848050512613582</v>
      </c>
      <c r="E160">
        <v>174.56458153035331</v>
      </c>
      <c r="F160">
        <v>261.41263204296689</v>
      </c>
    </row>
    <row r="161" spans="2:6">
      <c r="B161">
        <v>2047</v>
      </c>
      <c r="D161">
        <v>90.321972533118128</v>
      </c>
      <c r="E161">
        <v>180.64394506623626</v>
      </c>
      <c r="F161">
        <v>271.8343981044805</v>
      </c>
    </row>
    <row r="162" spans="2:6">
      <c r="B162">
        <v>2048</v>
      </c>
      <c r="D162">
        <v>93.795894553622674</v>
      </c>
      <c r="E162">
        <v>187.59178910724535</v>
      </c>
      <c r="F162">
        <v>281.38768366086799</v>
      </c>
    </row>
    <row r="163" spans="2:6">
      <c r="B163">
        <v>2049</v>
      </c>
      <c r="D163">
        <v>97.269816574127205</v>
      </c>
      <c r="E163">
        <v>193.67115264312829</v>
      </c>
      <c r="F163">
        <v>290.94096921725549</v>
      </c>
    </row>
    <row r="164" spans="2:6">
      <c r="B164">
        <v>2050</v>
      </c>
      <c r="D164">
        <v>99.875258089505621</v>
      </c>
      <c r="E164">
        <v>200.61899668413739</v>
      </c>
      <c r="F164">
        <v>300.49425477364298</v>
      </c>
    </row>
    <row r="165" spans="2:6">
      <c r="B165">
        <v>2051</v>
      </c>
      <c r="D165">
        <v>102.48069960488402</v>
      </c>
      <c r="E165">
        <v>207.56684072514645</v>
      </c>
      <c r="F165">
        <v>312.65298184540887</v>
      </c>
    </row>
    <row r="166" spans="2:6">
      <c r="B166">
        <v>2052</v>
      </c>
      <c r="D166">
        <v>105.08614112026244</v>
      </c>
      <c r="E166">
        <v>214.51468476615554</v>
      </c>
      <c r="F166">
        <v>323.94322841204865</v>
      </c>
    </row>
    <row r="167" spans="2:6">
      <c r="B167">
        <v>2053</v>
      </c>
      <c r="D167">
        <v>107.69158263564084</v>
      </c>
      <c r="E167">
        <v>221.46252880716463</v>
      </c>
      <c r="F167">
        <v>335.23347497868843</v>
      </c>
    </row>
    <row r="168" spans="2:6">
      <c r="B168">
        <v>2054</v>
      </c>
      <c r="D168">
        <v>109.42854364589311</v>
      </c>
      <c r="E168">
        <v>228.41037284817372</v>
      </c>
      <c r="F168">
        <v>347.39220205045433</v>
      </c>
    </row>
    <row r="169" spans="2:6">
      <c r="B169">
        <v>2055</v>
      </c>
      <c r="D169">
        <v>112.03398516127152</v>
      </c>
      <c r="E169">
        <v>235.35821688918281</v>
      </c>
      <c r="F169">
        <v>358.68244861709411</v>
      </c>
    </row>
    <row r="170" spans="2:6">
      <c r="B170">
        <v>2056</v>
      </c>
      <c r="D170">
        <v>113.77094617152379</v>
      </c>
      <c r="E170">
        <v>241.43758042506576</v>
      </c>
      <c r="F170">
        <v>369.97269518373383</v>
      </c>
    </row>
    <row r="171" spans="2:6">
      <c r="B171">
        <v>2057</v>
      </c>
      <c r="D171">
        <v>115.50790718177606</v>
      </c>
      <c r="E171">
        <v>248.38542446607485</v>
      </c>
      <c r="F171">
        <v>381.26294175037361</v>
      </c>
    </row>
    <row r="172" spans="2:6">
      <c r="B172">
        <v>2058</v>
      </c>
      <c r="D172">
        <v>117.24486819202833</v>
      </c>
      <c r="E172">
        <v>254.4647880019578</v>
      </c>
      <c r="F172">
        <v>391.68470781188728</v>
      </c>
    </row>
    <row r="173" spans="2:6">
      <c r="B173">
        <v>2059</v>
      </c>
      <c r="D173">
        <v>118.98182920228061</v>
      </c>
      <c r="E173">
        <v>260.54415153784072</v>
      </c>
      <c r="F173">
        <v>402.974954378527</v>
      </c>
    </row>
    <row r="174" spans="2:6">
      <c r="B174">
        <v>2060</v>
      </c>
      <c r="D174">
        <v>119.85030970740674</v>
      </c>
      <c r="E174">
        <v>266.62351507372369</v>
      </c>
      <c r="F174">
        <v>413.39672044004067</v>
      </c>
    </row>
    <row r="175" spans="2:6">
      <c r="B175">
        <v>2061</v>
      </c>
      <c r="D175">
        <v>120.71879021253288</v>
      </c>
      <c r="E175">
        <v>271.8343981044805</v>
      </c>
      <c r="F175">
        <v>422.08152549130199</v>
      </c>
    </row>
    <row r="176" spans="2:6">
      <c r="B176">
        <v>2062</v>
      </c>
      <c r="D176">
        <v>121.58727071765901</v>
      </c>
      <c r="E176">
        <v>276.17680063011119</v>
      </c>
      <c r="F176">
        <v>431.63481104768948</v>
      </c>
    </row>
    <row r="177" spans="2:6">
      <c r="B177">
        <v>2063</v>
      </c>
      <c r="D177">
        <v>122.45575122278515</v>
      </c>
      <c r="E177">
        <v>280.51920315574188</v>
      </c>
      <c r="F177">
        <v>439.45113559382474</v>
      </c>
    </row>
    <row r="178" spans="2:6">
      <c r="B178">
        <v>2064</v>
      </c>
      <c r="D178">
        <v>122.45575122278515</v>
      </c>
      <c r="E178">
        <v>284.86160568137257</v>
      </c>
      <c r="F178">
        <v>447.26746013995995</v>
      </c>
    </row>
    <row r="179" spans="2:6">
      <c r="B179">
        <v>2065</v>
      </c>
      <c r="D179">
        <v>122.45575122278515</v>
      </c>
      <c r="E179">
        <v>288.33552770187708</v>
      </c>
      <c r="F179">
        <v>454.21530418096904</v>
      </c>
    </row>
    <row r="180" spans="2:6">
      <c r="B180">
        <v>2066</v>
      </c>
      <c r="D180">
        <v>122.45575122278515</v>
      </c>
      <c r="E180">
        <v>291.80944972238166</v>
      </c>
      <c r="F180">
        <v>461.16314822197813</v>
      </c>
    </row>
    <row r="181" spans="2:6">
      <c r="B181">
        <v>2067</v>
      </c>
      <c r="D181">
        <v>122.45575122278515</v>
      </c>
      <c r="E181">
        <v>295.28337174288617</v>
      </c>
      <c r="F181">
        <v>467.24251175786105</v>
      </c>
    </row>
    <row r="182" spans="2:6">
      <c r="B182">
        <v>2068</v>
      </c>
      <c r="D182">
        <v>121.58727071765901</v>
      </c>
      <c r="E182">
        <v>297.88881325826458</v>
      </c>
      <c r="F182">
        <v>473.32187529374403</v>
      </c>
    </row>
    <row r="183" spans="2:6">
      <c r="B183">
        <v>2069</v>
      </c>
      <c r="D183">
        <v>121.58727071765901</v>
      </c>
      <c r="E183">
        <v>299.62577426851686</v>
      </c>
      <c r="F183">
        <v>478.53275832450083</v>
      </c>
    </row>
    <row r="184" spans="2:6">
      <c r="B184">
        <v>2070</v>
      </c>
      <c r="D184">
        <v>120.71879021253288</v>
      </c>
      <c r="E184">
        <v>302.23121578389527</v>
      </c>
      <c r="F184">
        <v>482.87516085013152</v>
      </c>
    </row>
    <row r="185" spans="2:6">
      <c r="B185">
        <v>2071</v>
      </c>
      <c r="D185">
        <v>119.85030970740674</v>
      </c>
      <c r="E185">
        <v>303.96817679414755</v>
      </c>
      <c r="F185">
        <v>487.21756337576221</v>
      </c>
    </row>
    <row r="186" spans="2:6">
      <c r="B186">
        <v>2072</v>
      </c>
      <c r="D186">
        <v>118.98182920228061</v>
      </c>
      <c r="E186">
        <v>305.70513780439978</v>
      </c>
      <c r="F186">
        <v>491.5599659013929</v>
      </c>
    </row>
    <row r="187" spans="2:6">
      <c r="B187">
        <v>2073</v>
      </c>
      <c r="D187">
        <v>118.11334869715448</v>
      </c>
      <c r="E187">
        <v>306.57361830952595</v>
      </c>
      <c r="F187">
        <v>495.03388792189742</v>
      </c>
    </row>
    <row r="188" spans="2:6">
      <c r="B188">
        <v>2074</v>
      </c>
      <c r="D188">
        <v>117.24486819202833</v>
      </c>
      <c r="E188">
        <v>307.44209881465207</v>
      </c>
      <c r="F188">
        <v>498.50780994240193</v>
      </c>
    </row>
    <row r="189" spans="2:6">
      <c r="B189">
        <v>2075</v>
      </c>
      <c r="D189">
        <v>115.50790718177606</v>
      </c>
      <c r="E189">
        <v>308.31057931977824</v>
      </c>
      <c r="F189">
        <v>501.11325145778039</v>
      </c>
    </row>
    <row r="190" spans="2:6">
      <c r="B190">
        <v>2076</v>
      </c>
      <c r="D190">
        <v>113.77094617152379</v>
      </c>
      <c r="E190">
        <v>308.31057931977824</v>
      </c>
      <c r="F190">
        <v>502.85021246803262</v>
      </c>
    </row>
    <row r="191" spans="2:6">
      <c r="B191">
        <v>2077</v>
      </c>
      <c r="D191">
        <v>112.90246566639766</v>
      </c>
      <c r="E191">
        <v>308.31057931977824</v>
      </c>
      <c r="F191">
        <v>504.58717347828491</v>
      </c>
    </row>
    <row r="192" spans="2:6">
      <c r="B192">
        <v>2078</v>
      </c>
      <c r="D192">
        <v>111.16550465614539</v>
      </c>
      <c r="E192">
        <v>308.31057931977824</v>
      </c>
      <c r="F192">
        <v>505.45565398341103</v>
      </c>
    </row>
    <row r="193" spans="2:6">
      <c r="B193">
        <v>2079</v>
      </c>
      <c r="D193">
        <v>109.42854364589311</v>
      </c>
      <c r="E193">
        <v>307.44209881465207</v>
      </c>
      <c r="F193">
        <v>506.3241344885372</v>
      </c>
    </row>
    <row r="194" spans="2:6">
      <c r="B194">
        <v>2080</v>
      </c>
      <c r="D194">
        <v>107.69158263564084</v>
      </c>
      <c r="E194">
        <v>306.57361830952595</v>
      </c>
      <c r="F194">
        <v>505.45565398341103</v>
      </c>
    </row>
    <row r="195" spans="2:6">
      <c r="B195">
        <v>2081</v>
      </c>
      <c r="D195">
        <v>105.95462162538857</v>
      </c>
      <c r="E195">
        <v>306.57361830952595</v>
      </c>
      <c r="F195">
        <v>507.19261499366331</v>
      </c>
    </row>
    <row r="196" spans="2:6">
      <c r="B196">
        <v>2082</v>
      </c>
      <c r="D196">
        <v>104.2176606151363</v>
      </c>
      <c r="E196">
        <v>305.70513780439978</v>
      </c>
      <c r="F196">
        <v>507.19261499366331</v>
      </c>
    </row>
    <row r="197" spans="2:6">
      <c r="B197">
        <v>2083</v>
      </c>
      <c r="D197">
        <v>102.48069960488402</v>
      </c>
      <c r="E197">
        <v>304.83665729927367</v>
      </c>
      <c r="F197">
        <v>507.19261499366331</v>
      </c>
    </row>
    <row r="198" spans="2:6">
      <c r="B198">
        <v>2084</v>
      </c>
      <c r="D198">
        <v>99.875258089505621</v>
      </c>
      <c r="E198">
        <v>303.96817679414755</v>
      </c>
      <c r="F198">
        <v>507.19261499366331</v>
      </c>
    </row>
    <row r="199" spans="2:6">
      <c r="B199">
        <v>2085</v>
      </c>
      <c r="D199">
        <v>98.138297079253348</v>
      </c>
      <c r="E199">
        <v>303.09969628902138</v>
      </c>
      <c r="F199">
        <v>507.19261499366331</v>
      </c>
    </row>
    <row r="200" spans="2:6">
      <c r="B200">
        <v>2086</v>
      </c>
      <c r="D200">
        <v>96.401336069001076</v>
      </c>
      <c r="E200">
        <v>301.36273527876915</v>
      </c>
      <c r="F200">
        <v>505.45565398341103</v>
      </c>
    </row>
    <row r="201" spans="2:6">
      <c r="B201">
        <v>2087</v>
      </c>
      <c r="D201">
        <v>94.664375058748803</v>
      </c>
      <c r="E201">
        <v>299.62577426851686</v>
      </c>
      <c r="F201">
        <v>504.58717347828491</v>
      </c>
    </row>
    <row r="202" spans="2:6">
      <c r="B202">
        <v>2088</v>
      </c>
      <c r="D202">
        <v>92.058933543370401</v>
      </c>
      <c r="E202">
        <v>297.88881325826458</v>
      </c>
      <c r="F202">
        <v>502.85021246803262</v>
      </c>
    </row>
    <row r="203" spans="2:6">
      <c r="B203">
        <v>2089</v>
      </c>
      <c r="D203">
        <v>90.321972533118128</v>
      </c>
      <c r="E203">
        <v>295.28337174288617</v>
      </c>
      <c r="F203">
        <v>500.24477095265422</v>
      </c>
    </row>
    <row r="204" spans="2:6">
      <c r="B204">
        <v>2090</v>
      </c>
      <c r="D204">
        <v>87.716531017739712</v>
      </c>
      <c r="E204">
        <v>293.54641073263389</v>
      </c>
      <c r="F204">
        <v>498.50780994240193</v>
      </c>
    </row>
    <row r="205" spans="2:6">
      <c r="B205">
        <v>2091</v>
      </c>
      <c r="D205">
        <v>85.979570007487439</v>
      </c>
      <c r="E205">
        <v>290.94096921725549</v>
      </c>
      <c r="F205">
        <v>496.7708489321497</v>
      </c>
    </row>
    <row r="206" spans="2:6">
      <c r="B206">
        <v>2092</v>
      </c>
      <c r="D206">
        <v>84.24260899723518</v>
      </c>
      <c r="E206">
        <v>289.20400820700326</v>
      </c>
      <c r="F206">
        <v>495.03388792189742</v>
      </c>
    </row>
    <row r="207" spans="2:6">
      <c r="B207">
        <v>2093</v>
      </c>
      <c r="D207">
        <v>81.637167481856764</v>
      </c>
      <c r="E207">
        <v>287.46704719675097</v>
      </c>
      <c r="F207">
        <v>492.42844640651901</v>
      </c>
    </row>
    <row r="208" spans="2:6">
      <c r="B208">
        <v>2094</v>
      </c>
      <c r="D208">
        <v>79.900206471604491</v>
      </c>
      <c r="E208">
        <v>284.86160568137257</v>
      </c>
      <c r="F208">
        <v>489.82300489114061</v>
      </c>
    </row>
    <row r="209" spans="2:6">
      <c r="B209">
        <v>2095</v>
      </c>
      <c r="D209">
        <v>77.294764956226089</v>
      </c>
      <c r="E209">
        <v>282.25616416599416</v>
      </c>
      <c r="F209">
        <v>487.21756337576221</v>
      </c>
    </row>
    <row r="210" spans="2:6">
      <c r="B210">
        <v>2096</v>
      </c>
      <c r="D210">
        <v>75.557803945973816</v>
      </c>
      <c r="E210">
        <v>279.65072265061571</v>
      </c>
      <c r="F210">
        <v>483.74364135525764</v>
      </c>
    </row>
    <row r="211" spans="2:6">
      <c r="B211">
        <v>2097</v>
      </c>
      <c r="D211">
        <v>73.820842935721544</v>
      </c>
      <c r="E211">
        <v>277.0452811352373</v>
      </c>
      <c r="F211">
        <v>481.13819983987923</v>
      </c>
    </row>
    <row r="212" spans="2:6">
      <c r="B212">
        <v>2098</v>
      </c>
      <c r="D212">
        <v>71.215401420343142</v>
      </c>
      <c r="E212">
        <v>274.4398396198589</v>
      </c>
      <c r="F212">
        <v>476.79579731424855</v>
      </c>
    </row>
    <row r="213" spans="2:6">
      <c r="B213">
        <v>2099</v>
      </c>
      <c r="D213">
        <v>69.478440410090869</v>
      </c>
      <c r="E213">
        <v>271.8343981044805</v>
      </c>
      <c r="F213">
        <v>474.19035579887014</v>
      </c>
    </row>
    <row r="214" spans="2:6">
      <c r="B214">
        <v>2100</v>
      </c>
      <c r="D214">
        <v>66.872998894712453</v>
      </c>
      <c r="E214">
        <v>268.36047608397598</v>
      </c>
      <c r="F214">
        <v>469.84795327323945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AST</vt:lpstr>
      <vt:lpstr>AMCB Table</vt:lpstr>
      <vt:lpstr>Scheme Costs</vt:lpstr>
      <vt:lpstr>Streets for People AMAT</vt:lpstr>
      <vt:lpstr>School Streets AMAT</vt:lpstr>
      <vt:lpstr>LED Street lights</vt:lpstr>
      <vt:lpstr>EV charge points</vt:lpstr>
      <vt:lpstr>Highway maintenance model</vt:lpstr>
      <vt:lpstr>Assumptions + TAG factors</vt:lpstr>
      <vt:lpstr>'AMCB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Taylor</dc:creator>
  <cp:lastModifiedBy>Neil Taylor</cp:lastModifiedBy>
  <dcterms:created xsi:type="dcterms:W3CDTF">2015-06-05T18:17:20Z</dcterms:created>
  <dcterms:modified xsi:type="dcterms:W3CDTF">2021-06-16T23:13:53Z</dcterms:modified>
</cp:coreProperties>
</file>